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updateLinks="never" codeName="DieseArbeitsmappe" defaultThemeVersion="124226"/>
  <bookViews>
    <workbookView xWindow="120" yWindow="135" windowWidth="18915" windowHeight="11010"/>
  </bookViews>
  <sheets>
    <sheet name="Hinweise" sheetId="23" r:id="rId1"/>
    <sheet name="Eingabetabelle" sheetId="22" r:id="rId2"/>
    <sheet name="Zusatzeingaben" sheetId="6" r:id="rId3"/>
    <sheet name="Berechnung" sheetId="1" r:id="rId4"/>
    <sheet name="Kinderzuschlag" sheetId="21" state="hidden" r:id="rId5"/>
    <sheet name="Gutschein" sheetId="12" state="hidden" r:id="rId6"/>
    <sheet name="Zuschuss§26" sheetId="17" state="hidden" r:id="rId7"/>
    <sheet name="Wohngeld" sheetId="20" state="hidden" r:id="rId8"/>
    <sheet name="Z" sheetId="19" state="hidden" r:id="rId9"/>
    <sheet name="einmaligesEK" sheetId="13" state="hidden" r:id="rId10"/>
    <sheet name="Berechnung mit Einmalzahlung" sheetId="11" state="hidden" r:id="rId11"/>
    <sheet name="EingabenÄnderungen" sheetId="8" state="hidden" r:id="rId12"/>
    <sheet name="Änderung" sheetId="7" state="hidden" r:id="rId13"/>
    <sheet name="Aufteilung" sheetId="9" state="hidden" r:id="rId14"/>
    <sheet name="Bedarfssätze" sheetId="5" state="hidden" r:id="rId15"/>
    <sheet name="A" sheetId="16" state="hidden" r:id="rId16"/>
    <sheet name="B" sheetId="14" state="hidden" r:id="rId17"/>
    <sheet name="AB" sheetId="15" state="hidden" r:id="rId18"/>
  </sheets>
  <externalReferences>
    <externalReference r:id="rId19"/>
  </externalReferences>
  <definedNames>
    <definedName name="BBerechnungsMonat">[1]Berechnung!$D$3</definedName>
    <definedName name="Bedarfsstufen">Eingabetabelle!$B$3:$D$8</definedName>
    <definedName name="_xlnm.Print_Area" localSheetId="3">Berechnung!$A$1:$I$163</definedName>
    <definedName name="_xlnm.Print_Area" localSheetId="1">Eingabetabelle!$A$16:$J$169</definedName>
    <definedName name="_xlnm.Print_Area" localSheetId="2">Zusatzeingaben!$A$1:$I$237</definedName>
    <definedName name="Ernährung">Bedarfssätze!$B$40:$E$56</definedName>
    <definedName name="Kinderzuschlag">Berechnung!$U$2:$AC$31</definedName>
    <definedName name="KKinderzuschlag">Berechnung!$U$2:$AC$31</definedName>
    <definedName name="VersPausch">Eingabetabelle!$B$67</definedName>
    <definedName name="Wohngeld">Berechnung!$K$2:$S$56</definedName>
    <definedName name="Wohngeldabzug">Zusatzeingaben!$A$271:$I$280</definedName>
    <definedName name="WWPauschale">Eingabetabelle!$C$54</definedName>
    <definedName name="Zuschuss§26">Berechnung!$AE$2:$AK$59</definedName>
  </definedNames>
  <calcPr calcId="124519"/>
  <fileRecoveryPr repairLoad="1"/>
</workbook>
</file>

<file path=xl/calcChain.xml><?xml version="1.0" encoding="utf-8"?>
<calcChain xmlns="http://schemas.openxmlformats.org/spreadsheetml/2006/main">
  <c r="H135" i="5"/>
  <c r="D135"/>
  <c r="E21" i="22"/>
  <c r="D21"/>
  <c r="D25" i="17"/>
  <c r="E25"/>
  <c r="F25"/>
  <c r="G25"/>
  <c r="D23"/>
  <c r="E23"/>
  <c r="F23"/>
  <c r="G23"/>
  <c r="D15"/>
  <c r="E15"/>
  <c r="F15"/>
  <c r="G15"/>
  <c r="C15"/>
  <c r="C23"/>
  <c r="C25"/>
  <c r="B163" i="21"/>
  <c r="B3"/>
  <c r="F8" i="6"/>
  <c r="G8"/>
  <c r="B104" i="22" l="1"/>
  <c r="H134" i="5"/>
  <c r="D134"/>
  <c r="D117" i="6"/>
  <c r="E117"/>
  <c r="F117"/>
  <c r="G117"/>
  <c r="H117"/>
  <c r="I117"/>
  <c r="C117"/>
  <c r="C218"/>
  <c r="A148" i="22"/>
  <c r="A147"/>
  <c r="D147"/>
  <c r="E147"/>
  <c r="F147"/>
  <c r="G147"/>
  <c r="H147"/>
  <c r="I147"/>
  <c r="J147"/>
  <c r="A146"/>
  <c r="A55"/>
  <c r="H16"/>
  <c r="C199" i="6"/>
  <c r="D139" l="1"/>
  <c r="E139"/>
  <c r="F139"/>
  <c r="G139"/>
  <c r="H139"/>
  <c r="D49" i="1" l="1"/>
  <c r="E49"/>
  <c r="D205" i="6"/>
  <c r="E205"/>
  <c r="C205"/>
  <c r="D132" l="1"/>
  <c r="E132"/>
  <c r="F132"/>
  <c r="G132"/>
  <c r="H132"/>
  <c r="I132"/>
  <c r="D197"/>
  <c r="E86" i="22"/>
  <c r="F86"/>
  <c r="G86"/>
  <c r="D86"/>
  <c r="D144" i="6"/>
  <c r="E144"/>
  <c r="C144"/>
  <c r="D169"/>
  <c r="E169"/>
  <c r="F169"/>
  <c r="G169"/>
  <c r="H169"/>
  <c r="I169"/>
  <c r="C169"/>
  <c r="E93" i="22"/>
  <c r="G93"/>
  <c r="F168" i="6" s="1"/>
  <c r="H93" i="22"/>
  <c r="G168" i="6" s="1"/>
  <c r="I93" i="22"/>
  <c r="H168" i="6" s="1"/>
  <c r="J93" i="22"/>
  <c r="I168" i="6" s="1"/>
  <c r="D93" i="22"/>
  <c r="A93"/>
  <c r="C94"/>
  <c r="D207" i="6"/>
  <c r="E207"/>
  <c r="F207"/>
  <c r="C207"/>
  <c r="B228"/>
  <c r="I220"/>
  <c r="H220"/>
  <c r="G220"/>
  <c r="F220"/>
  <c r="E220"/>
  <c r="D220"/>
  <c r="C220"/>
  <c r="E2"/>
  <c r="E3" i="1"/>
  <c r="K1" i="6" s="1"/>
  <c r="D246" l="1"/>
  <c r="E246"/>
  <c r="C246"/>
  <c r="F245"/>
  <c r="D245"/>
  <c r="G245"/>
  <c r="E245"/>
  <c r="C245"/>
  <c r="E163" i="21"/>
  <c r="G233" i="6"/>
  <c r="E233"/>
  <c r="C233"/>
  <c r="H233"/>
  <c r="F233"/>
  <c r="D233"/>
  <c r="F2"/>
  <c r="D209"/>
  <c r="E212"/>
  <c r="E209"/>
  <c r="F212"/>
  <c r="F209"/>
  <c r="B169"/>
  <c r="B207"/>
  <c r="A209" s="1"/>
  <c r="B253"/>
  <c r="D55" i="22" l="1"/>
  <c r="B55"/>
  <c r="E287" i="6" l="1"/>
  <c r="I287"/>
  <c r="J287"/>
  <c r="E288"/>
  <c r="I288"/>
  <c r="J288"/>
  <c r="E289"/>
  <c r="I289"/>
  <c r="J289"/>
  <c r="E290"/>
  <c r="I290"/>
  <c r="J290"/>
  <c r="E291"/>
  <c r="I291"/>
  <c r="J291"/>
  <c r="E292"/>
  <c r="I292"/>
  <c r="J292"/>
  <c r="E293"/>
  <c r="I293"/>
  <c r="J293"/>
  <c r="E294"/>
  <c r="I294"/>
  <c r="J294"/>
  <c r="E295"/>
  <c r="I295"/>
  <c r="J295"/>
  <c r="E296"/>
  <c r="I296"/>
  <c r="J296"/>
  <c r="E297"/>
  <c r="I297"/>
  <c r="J297"/>
  <c r="E298"/>
  <c r="I298"/>
  <c r="J298"/>
  <c r="B299"/>
  <c r="C299"/>
  <c r="D299"/>
  <c r="F299"/>
  <c r="G299"/>
  <c r="H299"/>
  <c r="U37" i="1"/>
  <c r="B255" i="6"/>
  <c r="A162" i="22"/>
  <c r="A57"/>
  <c r="A56"/>
  <c r="B257" i="6"/>
  <c r="A50" i="22"/>
  <c r="A48"/>
  <c r="B252" i="6"/>
  <c r="B251"/>
  <c r="D56" i="22"/>
  <c r="E56"/>
  <c r="F56"/>
  <c r="G56"/>
  <c r="H56"/>
  <c r="I56"/>
  <c r="J56"/>
  <c r="D125" i="6"/>
  <c r="E125"/>
  <c r="F125"/>
  <c r="G125"/>
  <c r="H125"/>
  <c r="I125"/>
  <c r="D122"/>
  <c r="E122"/>
  <c r="F122"/>
  <c r="G122"/>
  <c r="H122"/>
  <c r="I122"/>
  <c r="D123"/>
  <c r="E123"/>
  <c r="F123"/>
  <c r="G123"/>
  <c r="H123"/>
  <c r="I123"/>
  <c r="C123"/>
  <c r="C125"/>
  <c r="C122"/>
  <c r="K296" l="1"/>
  <c r="K292"/>
  <c r="K293"/>
  <c r="K288"/>
  <c r="K298"/>
  <c r="K297"/>
  <c r="K287"/>
  <c r="K290"/>
  <c r="K289"/>
  <c r="E299"/>
  <c r="J299"/>
  <c r="K301" s="1"/>
  <c r="K294"/>
  <c r="K291"/>
  <c r="K295"/>
  <c r="I299"/>
  <c r="D174"/>
  <c r="D175"/>
  <c r="C175"/>
  <c r="D176"/>
  <c r="C176"/>
  <c r="K299" l="1"/>
  <c r="K302" s="1"/>
  <c r="AE2" i="1"/>
  <c r="AE3"/>
  <c r="AF3"/>
  <c r="AG3"/>
  <c r="AH3"/>
  <c r="AI3"/>
  <c r="AJ3"/>
  <c r="AK3"/>
  <c r="AE4"/>
  <c r="AH4"/>
  <c r="AJ4"/>
  <c r="AE5"/>
  <c r="AF5"/>
  <c r="AG5"/>
  <c r="AH5"/>
  <c r="AI5"/>
  <c r="AJ5"/>
  <c r="AK5"/>
  <c r="AE6"/>
  <c r="AF6"/>
  <c r="AJ6"/>
  <c r="AK6"/>
  <c r="AE7"/>
  <c r="AF7"/>
  <c r="AE8"/>
  <c r="AF8"/>
  <c r="AE9"/>
  <c r="AF9"/>
  <c r="AE10"/>
  <c r="AF10"/>
  <c r="AE11"/>
  <c r="AF11"/>
  <c r="AG11"/>
  <c r="AH11"/>
  <c r="AI11"/>
  <c r="AJ11"/>
  <c r="AK11"/>
  <c r="AE12"/>
  <c r="AF12"/>
  <c r="AG12"/>
  <c r="AH12"/>
  <c r="AI12"/>
  <c r="AJ12"/>
  <c r="AK12"/>
  <c r="AE13"/>
  <c r="AF13"/>
  <c r="AG13"/>
  <c r="AH13"/>
  <c r="AI13"/>
  <c r="AJ13"/>
  <c r="AK13"/>
  <c r="AE14"/>
  <c r="AF14"/>
  <c r="AG14"/>
  <c r="AH14"/>
  <c r="AI14"/>
  <c r="AJ14"/>
  <c r="AK14"/>
  <c r="AE15"/>
  <c r="AF15"/>
  <c r="AG15"/>
  <c r="AH15"/>
  <c r="AI15"/>
  <c r="AJ15"/>
  <c r="AK15"/>
  <c r="AE16"/>
  <c r="AF16"/>
  <c r="AE17"/>
  <c r="AE18"/>
  <c r="AF18"/>
  <c r="AE19"/>
  <c r="AG19"/>
  <c r="AH19"/>
  <c r="AI19"/>
  <c r="AJ19"/>
  <c r="AK19"/>
  <c r="AE20"/>
  <c r="AF20"/>
  <c r="AG20"/>
  <c r="AH20"/>
  <c r="AI20"/>
  <c r="AJ20"/>
  <c r="AK20"/>
  <c r="AE21"/>
  <c r="AF21"/>
  <c r="AG21"/>
  <c r="AE22"/>
  <c r="AF22"/>
  <c r="AG22"/>
  <c r="AH22"/>
  <c r="AI22"/>
  <c r="AJ22"/>
  <c r="AK22"/>
  <c r="AE23"/>
  <c r="AF23"/>
  <c r="AG23"/>
  <c r="AH23"/>
  <c r="AI23"/>
  <c r="AJ23"/>
  <c r="AK23"/>
  <c r="AE24"/>
  <c r="AF24"/>
  <c r="AG24"/>
  <c r="AH24"/>
  <c r="AI24"/>
  <c r="AJ24"/>
  <c r="AK24"/>
  <c r="AE25"/>
  <c r="AF25"/>
  <c r="AG25"/>
  <c r="AH25"/>
  <c r="AI25"/>
  <c r="AJ25"/>
  <c r="AK25"/>
  <c r="AE26"/>
  <c r="AF26"/>
  <c r="AG26"/>
  <c r="AH26"/>
  <c r="AI26"/>
  <c r="AJ26"/>
  <c r="AK26"/>
  <c r="AE27"/>
  <c r="AE28"/>
  <c r="AF28"/>
  <c r="AG28"/>
  <c r="AH28"/>
  <c r="AI28"/>
  <c r="AJ28"/>
  <c r="AK28"/>
  <c r="AE29"/>
  <c r="AE30"/>
  <c r="AF30"/>
  <c r="AJ30"/>
  <c r="AK30"/>
  <c r="AE31"/>
  <c r="AF31"/>
  <c r="AG31"/>
  <c r="AH31"/>
  <c r="AI31"/>
  <c r="AJ31"/>
  <c r="AK31"/>
  <c r="AE33"/>
  <c r="AF33"/>
  <c r="AE34"/>
  <c r="AF34"/>
  <c r="AE35"/>
  <c r="AE37"/>
  <c r="AF37"/>
  <c r="AE38"/>
  <c r="AF38"/>
  <c r="AG38"/>
  <c r="AH38"/>
  <c r="AI38"/>
  <c r="AJ38"/>
  <c r="AK38"/>
  <c r="AE39"/>
  <c r="AF39"/>
  <c r="AG39"/>
  <c r="AH39"/>
  <c r="AI39"/>
  <c r="AJ39"/>
  <c r="AK39"/>
  <c r="AE40"/>
  <c r="AF40"/>
  <c r="AE41"/>
  <c r="AF41"/>
  <c r="AE42"/>
  <c r="AE45"/>
  <c r="AF45"/>
  <c r="AE46"/>
  <c r="AF46"/>
  <c r="AG46"/>
  <c r="AE47"/>
  <c r="AF47"/>
  <c r="AG47"/>
  <c r="AH47"/>
  <c r="AI47"/>
  <c r="AJ47"/>
  <c r="AK47"/>
  <c r="AE49"/>
  <c r="AE50"/>
  <c r="AE53"/>
  <c r="AF53"/>
  <c r="AF54"/>
  <c r="AG54"/>
  <c r="AH54"/>
  <c r="AI54"/>
  <c r="AJ54"/>
  <c r="AK54"/>
  <c r="AE55"/>
  <c r="AF55"/>
  <c r="AG55"/>
  <c r="AH55"/>
  <c r="AI55"/>
  <c r="AJ55"/>
  <c r="AK55"/>
  <c r="AE56"/>
  <c r="AE59"/>
  <c r="AF59"/>
  <c r="U2"/>
  <c r="U3"/>
  <c r="V3"/>
  <c r="Z3"/>
  <c r="AA3"/>
  <c r="AB3"/>
  <c r="AC3"/>
  <c r="U4"/>
  <c r="V4"/>
  <c r="W4"/>
  <c r="X4"/>
  <c r="U5"/>
  <c r="W5"/>
  <c r="X5"/>
  <c r="Y5"/>
  <c r="Z5"/>
  <c r="AA5"/>
  <c r="AB5"/>
  <c r="AC5"/>
  <c r="U6"/>
  <c r="Y6"/>
  <c r="Z6"/>
  <c r="AA6"/>
  <c r="AB6"/>
  <c r="AC6"/>
  <c r="U7"/>
  <c r="V7"/>
  <c r="W7"/>
  <c r="X7"/>
  <c r="U8"/>
  <c r="V8"/>
  <c r="W8"/>
  <c r="X8"/>
  <c r="U9"/>
  <c r="V9"/>
  <c r="W9"/>
  <c r="X9"/>
  <c r="U10"/>
  <c r="W10"/>
  <c r="X10"/>
  <c r="U11"/>
  <c r="W11"/>
  <c r="X11"/>
  <c r="Y11"/>
  <c r="Z11"/>
  <c r="AA11"/>
  <c r="AB11"/>
  <c r="AC11"/>
  <c r="U12"/>
  <c r="AA12"/>
  <c r="AB12"/>
  <c r="AC12"/>
  <c r="U13"/>
  <c r="W13"/>
  <c r="X13"/>
  <c r="Y13"/>
  <c r="Z13"/>
  <c r="AA13"/>
  <c r="AB13"/>
  <c r="AC13"/>
  <c r="U14"/>
  <c r="V14"/>
  <c r="W14"/>
  <c r="X14"/>
  <c r="Y14"/>
  <c r="Z14"/>
  <c r="AA14"/>
  <c r="AB14"/>
  <c r="AC14"/>
  <c r="U15"/>
  <c r="Y15"/>
  <c r="Z15"/>
  <c r="AA15"/>
  <c r="AB15"/>
  <c r="AC15"/>
  <c r="U16"/>
  <c r="Y16"/>
  <c r="Z16"/>
  <c r="AA16"/>
  <c r="AB16"/>
  <c r="AC16"/>
  <c r="U17"/>
  <c r="X17"/>
  <c r="Y17"/>
  <c r="Z17"/>
  <c r="AA17"/>
  <c r="AB17"/>
  <c r="AC17"/>
  <c r="U18"/>
  <c r="W18"/>
  <c r="X18"/>
  <c r="Y18"/>
  <c r="Z18"/>
  <c r="AA18"/>
  <c r="AB18"/>
  <c r="AC18"/>
  <c r="U19"/>
  <c r="V19"/>
  <c r="W19"/>
  <c r="X19"/>
  <c r="Y19"/>
  <c r="Z19"/>
  <c r="AA19"/>
  <c r="AB19"/>
  <c r="AC19"/>
  <c r="U20"/>
  <c r="W20"/>
  <c r="X20"/>
  <c r="Y20"/>
  <c r="Z20"/>
  <c r="AA20"/>
  <c r="AB20"/>
  <c r="AC20"/>
  <c r="U21"/>
  <c r="W21"/>
  <c r="X21"/>
  <c r="Y21"/>
  <c r="Z21"/>
  <c r="AA21"/>
  <c r="AB21"/>
  <c r="AC21"/>
  <c r="U22"/>
  <c r="W22"/>
  <c r="X22"/>
  <c r="Y22"/>
  <c r="Z22"/>
  <c r="AA22"/>
  <c r="AB22"/>
  <c r="AC22"/>
  <c r="U23"/>
  <c r="V23"/>
  <c r="W23"/>
  <c r="X23"/>
  <c r="Y23"/>
  <c r="Z23"/>
  <c r="AA23"/>
  <c r="AB23"/>
  <c r="AC23"/>
  <c r="U24"/>
  <c r="W24"/>
  <c r="X24"/>
  <c r="Y24"/>
  <c r="Z24"/>
  <c r="AA24"/>
  <c r="AB24"/>
  <c r="AC24"/>
  <c r="U25"/>
  <c r="W25"/>
  <c r="X25"/>
  <c r="Y25"/>
  <c r="Z25"/>
  <c r="AA25"/>
  <c r="AB25"/>
  <c r="AC25"/>
  <c r="U26"/>
  <c r="Z26"/>
  <c r="AA26"/>
  <c r="AB26"/>
  <c r="AC26"/>
  <c r="U27"/>
  <c r="W27"/>
  <c r="X27"/>
  <c r="Y27"/>
  <c r="Z27"/>
  <c r="AA27"/>
  <c r="AB27"/>
  <c r="AC27"/>
  <c r="U28"/>
  <c r="W28"/>
  <c r="X28"/>
  <c r="Y28"/>
  <c r="Z28"/>
  <c r="AA28"/>
  <c r="AB28"/>
  <c r="AC28"/>
  <c r="U29"/>
  <c r="W29"/>
  <c r="X29"/>
  <c r="Y29"/>
  <c r="Z29"/>
  <c r="AA29"/>
  <c r="AB29"/>
  <c r="AC29"/>
  <c r="W30"/>
  <c r="X30"/>
  <c r="Y30"/>
  <c r="Z30"/>
  <c r="AA30"/>
  <c r="AB30"/>
  <c r="AC30"/>
  <c r="U31"/>
  <c r="U32"/>
  <c r="V32"/>
  <c r="W32"/>
  <c r="X32"/>
  <c r="Y32"/>
  <c r="Z32"/>
  <c r="AA32"/>
  <c r="AB32"/>
  <c r="AC32"/>
  <c r="U33"/>
  <c r="V33"/>
  <c r="W33"/>
  <c r="X33"/>
  <c r="Y33"/>
  <c r="Z33"/>
  <c r="AA33"/>
  <c r="AB33"/>
  <c r="AC33"/>
  <c r="U34"/>
  <c r="V34"/>
  <c r="W34"/>
  <c r="X34"/>
  <c r="U35"/>
  <c r="V35"/>
  <c r="W35"/>
  <c r="X35"/>
  <c r="Y35"/>
  <c r="Z35"/>
  <c r="AA35"/>
  <c r="AB35"/>
  <c r="AC35"/>
  <c r="U36"/>
  <c r="V36"/>
  <c r="W36"/>
  <c r="X36"/>
  <c r="Y36"/>
  <c r="Z36"/>
  <c r="AA36"/>
  <c r="AB36"/>
  <c r="AC36"/>
  <c r="K2"/>
  <c r="K3"/>
  <c r="N3"/>
  <c r="P3"/>
  <c r="R3"/>
  <c r="S3"/>
  <c r="K4"/>
  <c r="L4"/>
  <c r="M4"/>
  <c r="N4"/>
  <c r="O4"/>
  <c r="P4"/>
  <c r="Q4"/>
  <c r="R4"/>
  <c r="S4"/>
  <c r="K5"/>
  <c r="L5"/>
  <c r="P5"/>
  <c r="Q5"/>
  <c r="R5"/>
  <c r="S5"/>
  <c r="K6"/>
  <c r="K7"/>
  <c r="L7"/>
  <c r="K8"/>
  <c r="L8"/>
  <c r="M8"/>
  <c r="N8"/>
  <c r="O8"/>
  <c r="P8"/>
  <c r="Q8"/>
  <c r="R8"/>
  <c r="S8"/>
  <c r="K10"/>
  <c r="M10"/>
  <c r="N10"/>
  <c r="O10"/>
  <c r="P10"/>
  <c r="Q10"/>
  <c r="R10"/>
  <c r="S10"/>
  <c r="K11"/>
  <c r="M11"/>
  <c r="N11"/>
  <c r="O11"/>
  <c r="P11"/>
  <c r="Q11"/>
  <c r="R11"/>
  <c r="S11"/>
  <c r="M12"/>
  <c r="N12"/>
  <c r="O12"/>
  <c r="P12"/>
  <c r="Q12"/>
  <c r="R12"/>
  <c r="S12"/>
  <c r="L13"/>
  <c r="M13"/>
  <c r="N13"/>
  <c r="O13"/>
  <c r="P13"/>
  <c r="Q13"/>
  <c r="R13"/>
  <c r="S13"/>
  <c r="O14"/>
  <c r="P14"/>
  <c r="Q14"/>
  <c r="R14"/>
  <c r="S14"/>
  <c r="M15"/>
  <c r="N15"/>
  <c r="O15"/>
  <c r="P15"/>
  <c r="Q15"/>
  <c r="R15"/>
  <c r="S15"/>
  <c r="M16"/>
  <c r="N16"/>
  <c r="O16"/>
  <c r="P16"/>
  <c r="Q16"/>
  <c r="R16"/>
  <c r="S16"/>
  <c r="M17"/>
  <c r="N17"/>
  <c r="O17"/>
  <c r="P17"/>
  <c r="Q17"/>
  <c r="R17"/>
  <c r="S17"/>
  <c r="M18"/>
  <c r="N18"/>
  <c r="O18"/>
  <c r="P18"/>
  <c r="Q18"/>
  <c r="R18"/>
  <c r="S18"/>
  <c r="K19"/>
  <c r="M19"/>
  <c r="N19"/>
  <c r="O19"/>
  <c r="P19"/>
  <c r="Q19"/>
  <c r="R19"/>
  <c r="S19"/>
  <c r="M20"/>
  <c r="N20"/>
  <c r="O20"/>
  <c r="P20"/>
  <c r="Q20"/>
  <c r="R20"/>
  <c r="S20"/>
  <c r="K21"/>
  <c r="L21"/>
  <c r="S21"/>
  <c r="K22"/>
  <c r="K23"/>
  <c r="L23"/>
  <c r="P23"/>
  <c r="Q23"/>
  <c r="R23"/>
  <c r="S23"/>
  <c r="K27"/>
  <c r="L27"/>
  <c r="K30"/>
  <c r="L30"/>
  <c r="O30"/>
  <c r="P30"/>
  <c r="Q30"/>
  <c r="R30"/>
  <c r="S30"/>
  <c r="O31"/>
  <c r="P31"/>
  <c r="Q31"/>
  <c r="R31"/>
  <c r="S31"/>
  <c r="Q32"/>
  <c r="R32"/>
  <c r="S32"/>
  <c r="K39"/>
  <c r="K40"/>
  <c r="L40"/>
  <c r="M40"/>
  <c r="N40"/>
  <c r="O40"/>
  <c r="P40"/>
  <c r="Q40"/>
  <c r="R40"/>
  <c r="S40"/>
  <c r="O43"/>
  <c r="P43"/>
  <c r="Q43"/>
  <c r="R43"/>
  <c r="S43"/>
  <c r="K44"/>
  <c r="L44"/>
  <c r="K46"/>
  <c r="N48"/>
  <c r="O48"/>
  <c r="P48"/>
  <c r="Q48"/>
  <c r="R48"/>
  <c r="S48"/>
  <c r="M49"/>
  <c r="N49"/>
  <c r="O50"/>
  <c r="P50"/>
  <c r="Q50"/>
  <c r="R50"/>
  <c r="S50"/>
  <c r="K51"/>
  <c r="M51"/>
  <c r="N51"/>
  <c r="O51"/>
  <c r="P51"/>
  <c r="Q51"/>
  <c r="R51"/>
  <c r="S51"/>
  <c r="K52"/>
  <c r="M52"/>
  <c r="N52"/>
  <c r="O52"/>
  <c r="P52"/>
  <c r="Q52"/>
  <c r="R52"/>
  <c r="S52"/>
  <c r="K53"/>
  <c r="L53"/>
  <c r="M53"/>
  <c r="N53"/>
  <c r="O53"/>
  <c r="P53"/>
  <c r="Q53"/>
  <c r="R53"/>
  <c r="S53"/>
  <c r="K54"/>
  <c r="K55"/>
  <c r="L55"/>
  <c r="M55"/>
  <c r="N55"/>
  <c r="O55"/>
  <c r="P55"/>
  <c r="Q55"/>
  <c r="R55"/>
  <c r="S55"/>
  <c r="M56"/>
  <c r="N56"/>
  <c r="O56"/>
  <c r="P56"/>
  <c r="Q56"/>
  <c r="R56"/>
  <c r="S56"/>
  <c r="D143" i="6"/>
  <c r="E143"/>
  <c r="F143"/>
  <c r="G143"/>
  <c r="H143"/>
  <c r="I143"/>
  <c r="C143"/>
  <c r="D219"/>
  <c r="C219"/>
  <c r="D204"/>
  <c r="E204"/>
  <c r="F204"/>
  <c r="G204"/>
  <c r="H204"/>
  <c r="I204"/>
  <c r="C204"/>
  <c r="D199"/>
  <c r="E199"/>
  <c r="F199"/>
  <c r="G199"/>
  <c r="H199"/>
  <c r="I199"/>
  <c r="F205"/>
  <c r="G205"/>
  <c r="H205"/>
  <c r="I205"/>
  <c r="C105" i="22"/>
  <c r="D198" i="6"/>
  <c r="E198"/>
  <c r="F198"/>
  <c r="G198"/>
  <c r="H198"/>
  <c r="I198"/>
  <c r="C198"/>
  <c r="A198"/>
  <c r="C197"/>
  <c r="D196"/>
  <c r="E196"/>
  <c r="F196"/>
  <c r="G196"/>
  <c r="H196"/>
  <c r="I196"/>
  <c r="C196"/>
  <c r="D193"/>
  <c r="E193"/>
  <c r="F193"/>
  <c r="G193"/>
  <c r="H193"/>
  <c r="I193"/>
  <c r="C193"/>
  <c r="D180"/>
  <c r="E180"/>
  <c r="F180"/>
  <c r="C180"/>
  <c r="C174"/>
  <c r="D165"/>
  <c r="D263" s="1"/>
  <c r="E165"/>
  <c r="E263" s="1"/>
  <c r="F165"/>
  <c r="G165"/>
  <c r="H165"/>
  <c r="I165"/>
  <c r="C165"/>
  <c r="C263" s="1"/>
  <c r="C90" i="22"/>
  <c r="D138" i="6"/>
  <c r="E138"/>
  <c r="F138"/>
  <c r="G138"/>
  <c r="H138"/>
  <c r="I138"/>
  <c r="C138"/>
  <c r="C139"/>
  <c r="C132"/>
  <c r="D128"/>
  <c r="E128"/>
  <c r="F128"/>
  <c r="G128"/>
  <c r="H128"/>
  <c r="I128"/>
  <c r="C128"/>
  <c r="D91"/>
  <c r="E91"/>
  <c r="F91"/>
  <c r="G91"/>
  <c r="H91"/>
  <c r="I91"/>
  <c r="C91"/>
  <c r="B5"/>
  <c r="C46"/>
  <c r="D37"/>
  <c r="E37"/>
  <c r="F37"/>
  <c r="G37"/>
  <c r="H37"/>
  <c r="I37"/>
  <c r="C37"/>
  <c r="B139" l="1"/>
  <c r="B143"/>
  <c r="H263"/>
  <c r="H170"/>
  <c r="I263"/>
  <c r="I170"/>
  <c r="F170"/>
  <c r="F263"/>
  <c r="G263"/>
  <c r="G170"/>
  <c r="A91" i="22"/>
  <c r="A92"/>
  <c r="A94"/>
  <c r="I94" i="6"/>
  <c r="D94"/>
  <c r="E94"/>
  <c r="F94"/>
  <c r="G94"/>
  <c r="H94"/>
  <c r="C94"/>
  <c r="C42" i="22"/>
  <c r="C99" i="6"/>
  <c r="E93"/>
  <c r="F93"/>
  <c r="G93"/>
  <c r="H93"/>
  <c r="I93"/>
  <c r="F32" i="22"/>
  <c r="G32"/>
  <c r="H32"/>
  <c r="I32"/>
  <c r="J32"/>
  <c r="B105" i="6"/>
  <c r="B102"/>
  <c r="B95"/>
  <c r="B115" s="1"/>
  <c r="D8"/>
  <c r="E8"/>
  <c r="H8"/>
  <c r="I8"/>
  <c r="C8"/>
  <c r="A144" l="1"/>
  <c r="B144"/>
  <c r="J144" i="22"/>
  <c r="I144"/>
  <c r="H144"/>
  <c r="G144"/>
  <c r="F144"/>
  <c r="J34"/>
  <c r="I34"/>
  <c r="H34"/>
  <c r="G34"/>
  <c r="E129"/>
  <c r="D129"/>
  <c r="J128"/>
  <c r="I128"/>
  <c r="H128"/>
  <c r="G128"/>
  <c r="F128"/>
  <c r="E128"/>
  <c r="D128"/>
  <c r="J127"/>
  <c r="I127"/>
  <c r="H127"/>
  <c r="J126"/>
  <c r="I126"/>
  <c r="H126"/>
  <c r="G126"/>
  <c r="F126"/>
  <c r="E126"/>
  <c r="D126"/>
  <c r="J125"/>
  <c r="I125"/>
  <c r="H125"/>
  <c r="G125"/>
  <c r="F125"/>
  <c r="E125"/>
  <c r="D125"/>
  <c r="J124"/>
  <c r="I124"/>
  <c r="H124"/>
  <c r="G124"/>
  <c r="F124"/>
  <c r="E124"/>
  <c r="D124"/>
  <c r="J118"/>
  <c r="I118"/>
  <c r="H118"/>
  <c r="G118"/>
  <c r="F118"/>
  <c r="E118"/>
  <c r="D118"/>
  <c r="J115"/>
  <c r="I115"/>
  <c r="H115"/>
  <c r="G115"/>
  <c r="F115"/>
  <c r="E115"/>
  <c r="D115"/>
  <c r="J114"/>
  <c r="I114"/>
  <c r="I123" s="1"/>
  <c r="H114"/>
  <c r="H123" s="1"/>
  <c r="G114"/>
  <c r="G123" s="1"/>
  <c r="F114"/>
  <c r="E114"/>
  <c r="D114"/>
  <c r="C113"/>
  <c r="C111"/>
  <c r="C110"/>
  <c r="C109"/>
  <c r="C108"/>
  <c r="C107"/>
  <c r="C106"/>
  <c r="C104"/>
  <c r="C103"/>
  <c r="C102"/>
  <c r="C99"/>
  <c r="C95"/>
  <c r="C89"/>
  <c r="C87"/>
  <c r="C83"/>
  <c r="C82"/>
  <c r="C81"/>
  <c r="C80"/>
  <c r="C79"/>
  <c r="C78"/>
  <c r="C70"/>
  <c r="J66"/>
  <c r="I66"/>
  <c r="H66"/>
  <c r="G66"/>
  <c r="F66"/>
  <c r="E66"/>
  <c r="D66"/>
  <c r="A66"/>
  <c r="C65"/>
  <c r="C64"/>
  <c r="C63"/>
  <c r="C59"/>
  <c r="C147" s="1"/>
  <c r="C29"/>
  <c r="J28"/>
  <c r="I28"/>
  <c r="H28"/>
  <c r="G28"/>
  <c r="F28"/>
  <c r="E28"/>
  <c r="D28"/>
  <c r="J27"/>
  <c r="I27"/>
  <c r="H27"/>
  <c r="G27"/>
  <c r="F27"/>
  <c r="E27"/>
  <c r="D27"/>
  <c r="J21"/>
  <c r="I21"/>
  <c r="H21"/>
  <c r="G21"/>
  <c r="F21"/>
  <c r="A98" l="1"/>
  <c r="A84"/>
  <c r="B84"/>
  <c r="F165"/>
  <c r="B64"/>
  <c r="C118"/>
  <c r="C124"/>
  <c r="J130"/>
  <c r="C115"/>
  <c r="C128"/>
  <c r="J131"/>
  <c r="H133"/>
  <c r="H131"/>
  <c r="J133"/>
  <c r="B63"/>
  <c r="C28"/>
  <c r="I131"/>
  <c r="I133"/>
  <c r="D117"/>
  <c r="H117"/>
  <c r="H119" s="1"/>
  <c r="H132" s="1"/>
  <c r="C125"/>
  <c r="C126"/>
  <c r="H130"/>
  <c r="C114"/>
  <c r="G117"/>
  <c r="G119" s="1"/>
  <c r="F123"/>
  <c r="J123"/>
  <c r="F117"/>
  <c r="F119" s="1"/>
  <c r="J117"/>
  <c r="J119" s="1"/>
  <c r="J132" s="1"/>
  <c r="E117"/>
  <c r="E119" s="1"/>
  <c r="I117"/>
  <c r="I119" s="1"/>
  <c r="I132" s="1"/>
  <c r="I130"/>
  <c r="H134" l="1"/>
  <c r="J135"/>
  <c r="H135"/>
  <c r="I135"/>
  <c r="C117"/>
  <c r="D119"/>
  <c r="I134"/>
  <c r="J134"/>
  <c r="C150"/>
  <c r="C119" l="1"/>
  <c r="B254" i="6" l="1"/>
  <c r="D137" l="1"/>
  <c r="E137"/>
  <c r="F137"/>
  <c r="G137"/>
  <c r="H137"/>
  <c r="I137"/>
  <c r="B8" l="1"/>
  <c r="A35" s="1"/>
  <c r="A34" l="1"/>
  <c r="I6" i="1"/>
  <c r="D6"/>
  <c r="E6"/>
  <c r="F6"/>
  <c r="G6"/>
  <c r="H6"/>
  <c r="C6"/>
  <c r="D167"/>
  <c r="E167"/>
  <c r="F167"/>
  <c r="G167"/>
  <c r="H167"/>
  <c r="I167"/>
  <c r="C167"/>
  <c r="D126"/>
  <c r="E126"/>
  <c r="F126"/>
  <c r="G126"/>
  <c r="H126"/>
  <c r="I126"/>
  <c r="C126"/>
  <c r="D53"/>
  <c r="E53"/>
  <c r="F53"/>
  <c r="G53"/>
  <c r="H53"/>
  <c r="I53"/>
  <c r="C53"/>
  <c r="A107" i="6" l="1"/>
  <c r="A106"/>
  <c r="A104"/>
  <c r="D267" l="1"/>
  <c r="E267"/>
  <c r="F267"/>
  <c r="G267"/>
  <c r="H267"/>
  <c r="I267"/>
  <c r="A267"/>
  <c r="B180"/>
  <c r="A181" s="1"/>
  <c r="B174"/>
  <c r="A176" s="1"/>
  <c r="B165"/>
  <c r="B136"/>
  <c r="A143" s="1"/>
  <c r="B128"/>
  <c r="A167" l="1"/>
  <c r="A169"/>
  <c r="A129"/>
  <c r="A132"/>
  <c r="A182"/>
  <c r="A186"/>
  <c r="A184"/>
  <c r="A263"/>
  <c r="A137"/>
  <c r="A142"/>
  <c r="A175"/>
  <c r="A166"/>
  <c r="D251" l="1"/>
  <c r="B688" l="1"/>
  <c r="B692"/>
  <c r="B696"/>
  <c r="B700"/>
  <c r="B704"/>
  <c r="B708"/>
  <c r="B712"/>
  <c r="B716"/>
  <c r="B720"/>
  <c r="B724"/>
  <c r="B728"/>
  <c r="B732"/>
  <c r="B736"/>
  <c r="B740"/>
  <c r="B744"/>
  <c r="B748"/>
  <c r="B752"/>
  <c r="B756"/>
  <c r="B760"/>
  <c r="B764"/>
  <c r="B768"/>
  <c r="B772"/>
  <c r="B776"/>
  <c r="B780"/>
  <c r="B784"/>
  <c r="B788"/>
  <c r="B792"/>
  <c r="B796"/>
  <c r="B800"/>
  <c r="B804"/>
  <c r="B808"/>
  <c r="B812"/>
  <c r="B816"/>
  <c r="B820"/>
  <c r="B824"/>
  <c r="B828"/>
  <c r="B832"/>
  <c r="B836"/>
  <c r="B840"/>
  <c r="B844"/>
  <c r="B848"/>
  <c r="B852"/>
  <c r="B856"/>
  <c r="B860"/>
  <c r="B864"/>
  <c r="B868"/>
  <c r="B872"/>
  <c r="B876"/>
  <c r="B880"/>
  <c r="B884"/>
  <c r="B888"/>
  <c r="B892"/>
  <c r="B896"/>
  <c r="B900"/>
  <c r="B904"/>
  <c r="B908"/>
  <c r="B912"/>
  <c r="B916"/>
  <c r="B920"/>
  <c r="B924"/>
  <c r="B685"/>
  <c r="B689"/>
  <c r="B693"/>
  <c r="B697"/>
  <c r="B701"/>
  <c r="B705"/>
  <c r="B709"/>
  <c r="B713"/>
  <c r="B717"/>
  <c r="B721"/>
  <c r="B725"/>
  <c r="B729"/>
  <c r="B733"/>
  <c r="B737"/>
  <c r="B741"/>
  <c r="B745"/>
  <c r="B749"/>
  <c r="B753"/>
  <c r="B757"/>
  <c r="B761"/>
  <c r="B765"/>
  <c r="B769"/>
  <c r="B773"/>
  <c r="B777"/>
  <c r="B781"/>
  <c r="B785"/>
  <c r="B789"/>
  <c r="B793"/>
  <c r="B797"/>
  <c r="B801"/>
  <c r="B686"/>
  <c r="B690"/>
  <c r="B694"/>
  <c r="B698"/>
  <c r="B702"/>
  <c r="B706"/>
  <c r="B710"/>
  <c r="B714"/>
  <c r="B718"/>
  <c r="B722"/>
  <c r="B726"/>
  <c r="B730"/>
  <c r="B734"/>
  <c r="B738"/>
  <c r="B742"/>
  <c r="B746"/>
  <c r="B750"/>
  <c r="B754"/>
  <c r="B758"/>
  <c r="B762"/>
  <c r="B766"/>
  <c r="B770"/>
  <c r="B774"/>
  <c r="B778"/>
  <c r="B782"/>
  <c r="B786"/>
  <c r="B790"/>
  <c r="B794"/>
  <c r="B798"/>
  <c r="B687"/>
  <c r="B691"/>
  <c r="B695"/>
  <c r="B699"/>
  <c r="B703"/>
  <c r="B707"/>
  <c r="B711"/>
  <c r="B715"/>
  <c r="B719"/>
  <c r="B723"/>
  <c r="B727"/>
  <c r="B731"/>
  <c r="B735"/>
  <c r="B739"/>
  <c r="B743"/>
  <c r="B747"/>
  <c r="B751"/>
  <c r="B755"/>
  <c r="B759"/>
  <c r="B763"/>
  <c r="B767"/>
  <c r="B771"/>
  <c r="B775"/>
  <c r="B779"/>
  <c r="B783"/>
  <c r="B787"/>
  <c r="B791"/>
  <c r="B795"/>
  <c r="B799"/>
  <c r="B803"/>
  <c r="B807"/>
  <c r="B811"/>
  <c r="B815"/>
  <c r="B819"/>
  <c r="B823"/>
  <c r="B827"/>
  <c r="B831"/>
  <c r="B835"/>
  <c r="B839"/>
  <c r="B843"/>
  <c r="B847"/>
  <c r="B851"/>
  <c r="B855"/>
  <c r="B859"/>
  <c r="B863"/>
  <c r="B867"/>
  <c r="B871"/>
  <c r="B875"/>
  <c r="B879"/>
  <c r="B883"/>
  <c r="B887"/>
  <c r="B891"/>
  <c r="B895"/>
  <c r="B899"/>
  <c r="B903"/>
  <c r="B907"/>
  <c r="B911"/>
  <c r="B915"/>
  <c r="B919"/>
  <c r="B923"/>
  <c r="B927"/>
  <c r="B931"/>
  <c r="B935"/>
  <c r="B939"/>
  <c r="B943"/>
  <c r="B947"/>
  <c r="B951"/>
  <c r="B955"/>
  <c r="B959"/>
  <c r="B963"/>
  <c r="B967"/>
  <c r="B971"/>
  <c r="B975"/>
  <c r="B979"/>
  <c r="B983"/>
  <c r="B987"/>
  <c r="B991"/>
  <c r="B995"/>
  <c r="B999"/>
  <c r="B1003"/>
  <c r="B1007"/>
  <c r="B1011"/>
  <c r="B1015"/>
  <c r="B1019"/>
  <c r="B1023"/>
  <c r="B998"/>
  <c r="B936"/>
  <c r="B957"/>
  <c r="B978"/>
  <c r="B994"/>
  <c r="B1005"/>
  <c r="B1021"/>
  <c r="B1034"/>
  <c r="B806"/>
  <c r="B830"/>
  <c r="B854"/>
  <c r="B878"/>
  <c r="B910"/>
  <c r="B937"/>
  <c r="B953"/>
  <c r="B969"/>
  <c r="B985"/>
  <c r="B1001"/>
  <c r="B1017"/>
  <c r="B1031"/>
  <c r="B805"/>
  <c r="B821"/>
  <c r="B845"/>
  <c r="B869"/>
  <c r="B885"/>
  <c r="B909"/>
  <c r="B930"/>
  <c r="B946"/>
  <c r="B968"/>
  <c r="B989"/>
  <c r="B1010"/>
  <c r="B1030"/>
  <c r="B814"/>
  <c r="B838"/>
  <c r="B870"/>
  <c r="B894"/>
  <c r="B926"/>
  <c r="B942"/>
  <c r="B958"/>
  <c r="B974"/>
  <c r="B990"/>
  <c r="B1006"/>
  <c r="B1022"/>
  <c r="B1035"/>
  <c r="B1039"/>
  <c r="B902"/>
  <c r="B809"/>
  <c r="B817"/>
  <c r="B825"/>
  <c r="B833"/>
  <c r="B841"/>
  <c r="B849"/>
  <c r="B857"/>
  <c r="B865"/>
  <c r="B873"/>
  <c r="B881"/>
  <c r="B889"/>
  <c r="B897"/>
  <c r="B905"/>
  <c r="B913"/>
  <c r="B921"/>
  <c r="B928"/>
  <c r="B933"/>
  <c r="B938"/>
  <c r="B944"/>
  <c r="B949"/>
  <c r="B954"/>
  <c r="B960"/>
  <c r="B965"/>
  <c r="B970"/>
  <c r="B976"/>
  <c r="B981"/>
  <c r="B986"/>
  <c r="B992"/>
  <c r="B997"/>
  <c r="B1002"/>
  <c r="B1008"/>
  <c r="B1013"/>
  <c r="B1018"/>
  <c r="B1024"/>
  <c r="B1028"/>
  <c r="B1032"/>
  <c r="B1036"/>
  <c r="B1040"/>
  <c r="B802"/>
  <c r="B810"/>
  <c r="B818"/>
  <c r="B826"/>
  <c r="B834"/>
  <c r="B842"/>
  <c r="B850"/>
  <c r="B858"/>
  <c r="B866"/>
  <c r="B874"/>
  <c r="B882"/>
  <c r="B890"/>
  <c r="B898"/>
  <c r="B906"/>
  <c r="B914"/>
  <c r="B922"/>
  <c r="B929"/>
  <c r="B934"/>
  <c r="B940"/>
  <c r="B945"/>
  <c r="B950"/>
  <c r="B956"/>
  <c r="B961"/>
  <c r="B966"/>
  <c r="B972"/>
  <c r="B977"/>
  <c r="B982"/>
  <c r="B988"/>
  <c r="B993"/>
  <c r="B1004"/>
  <c r="B1009"/>
  <c r="B1014"/>
  <c r="B1020"/>
  <c r="B1025"/>
  <c r="B1029"/>
  <c r="B1033"/>
  <c r="B1037"/>
  <c r="B684"/>
  <c r="B813"/>
  <c r="B829"/>
  <c r="B837"/>
  <c r="B853"/>
  <c r="B861"/>
  <c r="B877"/>
  <c r="B893"/>
  <c r="B901"/>
  <c r="B917"/>
  <c r="B925"/>
  <c r="B941"/>
  <c r="B952"/>
  <c r="B962"/>
  <c r="B973"/>
  <c r="B984"/>
  <c r="B1000"/>
  <c r="B1016"/>
  <c r="B1026"/>
  <c r="B1038"/>
  <c r="B683"/>
  <c r="B822"/>
  <c r="B846"/>
  <c r="B862"/>
  <c r="B886"/>
  <c r="B918"/>
  <c r="B932"/>
  <c r="B948"/>
  <c r="B964"/>
  <c r="B980"/>
  <c r="B996"/>
  <c r="B1012"/>
  <c r="B1027"/>
  <c r="A684"/>
  <c r="A688"/>
  <c r="A692"/>
  <c r="A696"/>
  <c r="A700"/>
  <c r="A704"/>
  <c r="A708"/>
  <c r="A712"/>
  <c r="A716"/>
  <c r="A720"/>
  <c r="A724"/>
  <c r="A728"/>
  <c r="A732"/>
  <c r="A736"/>
  <c r="A740"/>
  <c r="A744"/>
  <c r="A748"/>
  <c r="A752"/>
  <c r="A756"/>
  <c r="A760"/>
  <c r="A764"/>
  <c r="A768"/>
  <c r="A772"/>
  <c r="A776"/>
  <c r="A780"/>
  <c r="A784"/>
  <c r="A788"/>
  <c r="A792"/>
  <c r="A796"/>
  <c r="A800"/>
  <c r="A804"/>
  <c r="A808"/>
  <c r="A812"/>
  <c r="A816"/>
  <c r="A820"/>
  <c r="A824"/>
  <c r="A828"/>
  <c r="A832"/>
  <c r="A836"/>
  <c r="A840"/>
  <c r="A844"/>
  <c r="A848"/>
  <c r="A852"/>
  <c r="A856"/>
  <c r="A860"/>
  <c r="A864"/>
  <c r="A868"/>
  <c r="A872"/>
  <c r="A876"/>
  <c r="A880"/>
  <c r="A884"/>
  <c r="A888"/>
  <c r="A685"/>
  <c r="A689"/>
  <c r="A693"/>
  <c r="A697"/>
  <c r="A701"/>
  <c r="A705"/>
  <c r="A709"/>
  <c r="A713"/>
  <c r="A717"/>
  <c r="A721"/>
  <c r="A725"/>
  <c r="A729"/>
  <c r="A733"/>
  <c r="A737"/>
  <c r="A741"/>
  <c r="A745"/>
  <c r="A749"/>
  <c r="A753"/>
  <c r="A757"/>
  <c r="A761"/>
  <c r="A765"/>
  <c r="A769"/>
  <c r="A773"/>
  <c r="A777"/>
  <c r="A781"/>
  <c r="A785"/>
  <c r="A789"/>
  <c r="A686"/>
  <c r="A690"/>
  <c r="A694"/>
  <c r="A698"/>
  <c r="A702"/>
  <c r="A706"/>
  <c r="A710"/>
  <c r="A714"/>
  <c r="A718"/>
  <c r="A722"/>
  <c r="A726"/>
  <c r="A730"/>
  <c r="A734"/>
  <c r="A738"/>
  <c r="A742"/>
  <c r="A746"/>
  <c r="A750"/>
  <c r="A754"/>
  <c r="A758"/>
  <c r="A762"/>
  <c r="A766"/>
  <c r="A770"/>
  <c r="A774"/>
  <c r="A778"/>
  <c r="A782"/>
  <c r="A786"/>
  <c r="A790"/>
  <c r="A687"/>
  <c r="A691"/>
  <c r="A695"/>
  <c r="A699"/>
  <c r="A703"/>
  <c r="A707"/>
  <c r="A711"/>
  <c r="A715"/>
  <c r="A719"/>
  <c r="A723"/>
  <c r="A727"/>
  <c r="A731"/>
  <c r="A735"/>
  <c r="A739"/>
  <c r="A743"/>
  <c r="A747"/>
  <c r="A751"/>
  <c r="A755"/>
  <c r="A759"/>
  <c r="A763"/>
  <c r="A767"/>
  <c r="A771"/>
  <c r="A775"/>
  <c r="A779"/>
  <c r="A783"/>
  <c r="A787"/>
  <c r="A791"/>
  <c r="A795"/>
  <c r="A799"/>
  <c r="A803"/>
  <c r="A807"/>
  <c r="A811"/>
  <c r="A815"/>
  <c r="A819"/>
  <c r="A823"/>
  <c r="A827"/>
  <c r="A831"/>
  <c r="A835"/>
  <c r="A839"/>
  <c r="A843"/>
  <c r="A847"/>
  <c r="A851"/>
  <c r="A855"/>
  <c r="A859"/>
  <c r="A863"/>
  <c r="A867"/>
  <c r="A871"/>
  <c r="A875"/>
  <c r="A879"/>
  <c r="A883"/>
  <c r="A887"/>
  <c r="A891"/>
  <c r="A895"/>
  <c r="A899"/>
  <c r="A903"/>
  <c r="A907"/>
  <c r="A911"/>
  <c r="A915"/>
  <c r="A919"/>
  <c r="A923"/>
  <c r="A927"/>
  <c r="A931"/>
  <c r="A935"/>
  <c r="A939"/>
  <c r="A943"/>
  <c r="A947"/>
  <c r="A951"/>
  <c r="A955"/>
  <c r="A959"/>
  <c r="A963"/>
  <c r="A967"/>
  <c r="A971"/>
  <c r="A975"/>
  <c r="A979"/>
  <c r="A983"/>
  <c r="A987"/>
  <c r="A991"/>
  <c r="A995"/>
  <c r="A999"/>
  <c r="A1003"/>
  <c r="A1007"/>
  <c r="A1011"/>
  <c r="A1015"/>
  <c r="A1019"/>
  <c r="A1023"/>
  <c r="A825"/>
  <c r="A894"/>
  <c r="A926"/>
  <c r="A942"/>
  <c r="A958"/>
  <c r="A969"/>
  <c r="A990"/>
  <c r="A1012"/>
  <c r="A1027"/>
  <c r="A1039"/>
  <c r="A802"/>
  <c r="A834"/>
  <c r="A858"/>
  <c r="A874"/>
  <c r="A890"/>
  <c r="A901"/>
  <c r="A912"/>
  <c r="A928"/>
  <c r="A938"/>
  <c r="A949"/>
  <c r="A965"/>
  <c r="A976"/>
  <c r="A986"/>
  <c r="A1002"/>
  <c r="A1013"/>
  <c r="A1024"/>
  <c r="A1036"/>
  <c r="A877"/>
  <c r="A902"/>
  <c r="A913"/>
  <c r="A934"/>
  <c r="A956"/>
  <c r="A972"/>
  <c r="A993"/>
  <c r="A1009"/>
  <c r="A1025"/>
  <c r="A842"/>
  <c r="A922"/>
  <c r="A960"/>
  <c r="A997"/>
  <c r="A1032"/>
  <c r="A892"/>
  <c r="A918"/>
  <c r="A940"/>
  <c r="A961"/>
  <c r="A977"/>
  <c r="A998"/>
  <c r="A1020"/>
  <c r="A1033"/>
  <c r="A797"/>
  <c r="A805"/>
  <c r="A813"/>
  <c r="A821"/>
  <c r="A829"/>
  <c r="A837"/>
  <c r="A845"/>
  <c r="A853"/>
  <c r="A861"/>
  <c r="A869"/>
  <c r="A897"/>
  <c r="A924"/>
  <c r="A950"/>
  <c r="A988"/>
  <c r="A1037"/>
  <c r="A798"/>
  <c r="A806"/>
  <c r="A814"/>
  <c r="A822"/>
  <c r="A830"/>
  <c r="A838"/>
  <c r="A846"/>
  <c r="A854"/>
  <c r="A862"/>
  <c r="A870"/>
  <c r="A878"/>
  <c r="A886"/>
  <c r="A893"/>
  <c r="A898"/>
  <c r="A904"/>
  <c r="A909"/>
  <c r="A914"/>
  <c r="A920"/>
  <c r="A925"/>
  <c r="A930"/>
  <c r="A936"/>
  <c r="A941"/>
  <c r="A946"/>
  <c r="A952"/>
  <c r="A957"/>
  <c r="A962"/>
  <c r="A968"/>
  <c r="A973"/>
  <c r="A978"/>
  <c r="A984"/>
  <c r="A989"/>
  <c r="A994"/>
  <c r="A1000"/>
  <c r="A1005"/>
  <c r="A1010"/>
  <c r="A1016"/>
  <c r="A1021"/>
  <c r="A1026"/>
  <c r="A1030"/>
  <c r="A1034"/>
  <c r="A1038"/>
  <c r="A793"/>
  <c r="A801"/>
  <c r="A809"/>
  <c r="A817"/>
  <c r="A833"/>
  <c r="A841"/>
  <c r="A849"/>
  <c r="A857"/>
  <c r="A865"/>
  <c r="A873"/>
  <c r="A881"/>
  <c r="A889"/>
  <c r="A900"/>
  <c r="A905"/>
  <c r="A910"/>
  <c r="A916"/>
  <c r="A921"/>
  <c r="A932"/>
  <c r="A937"/>
  <c r="A948"/>
  <c r="A953"/>
  <c r="A964"/>
  <c r="A974"/>
  <c r="A980"/>
  <c r="A985"/>
  <c r="A996"/>
  <c r="A1001"/>
  <c r="A1006"/>
  <c r="A1017"/>
  <c r="A1022"/>
  <c r="A1031"/>
  <c r="A1035"/>
  <c r="A794"/>
  <c r="A810"/>
  <c r="A818"/>
  <c r="A826"/>
  <c r="A850"/>
  <c r="A866"/>
  <c r="A882"/>
  <c r="A896"/>
  <c r="A906"/>
  <c r="A917"/>
  <c r="A933"/>
  <c r="A944"/>
  <c r="A954"/>
  <c r="A970"/>
  <c r="A981"/>
  <c r="A992"/>
  <c r="A1008"/>
  <c r="A1018"/>
  <c r="A1028"/>
  <c r="A1040"/>
  <c r="A885"/>
  <c r="A908"/>
  <c r="A929"/>
  <c r="A945"/>
  <c r="A966"/>
  <c r="A982"/>
  <c r="A1004"/>
  <c r="A1014"/>
  <c r="A1029"/>
  <c r="A683"/>
  <c r="B167" i="21"/>
  <c r="V5" i="1" s="1"/>
  <c r="E165" i="21"/>
  <c r="Y3" i="1" s="1"/>
  <c r="D165" i="21"/>
  <c r="X3" i="1" s="1"/>
  <c r="C165" i="21"/>
  <c r="W3" i="1" s="1"/>
  <c r="F46" i="22" l="1"/>
  <c r="F252" i="6" s="1"/>
  <c r="I152" i="21"/>
  <c r="H152"/>
  <c r="G152"/>
  <c r="F152"/>
  <c r="E152"/>
  <c r="D152"/>
  <c r="C152"/>
  <c r="E125"/>
  <c r="D125"/>
  <c r="C125"/>
  <c r="I119"/>
  <c r="H119"/>
  <c r="G119"/>
  <c r="I108"/>
  <c r="H108"/>
  <c r="G108"/>
  <c r="F108"/>
  <c r="E108"/>
  <c r="D108"/>
  <c r="C108"/>
  <c r="I67"/>
  <c r="H67"/>
  <c r="G67"/>
  <c r="F67"/>
  <c r="E67"/>
  <c r="D67"/>
  <c r="C67"/>
  <c r="I66"/>
  <c r="H66"/>
  <c r="G66"/>
  <c r="F66"/>
  <c r="E66"/>
  <c r="D66"/>
  <c r="C66"/>
  <c r="I65"/>
  <c r="H65"/>
  <c r="G65"/>
  <c r="F65"/>
  <c r="E65"/>
  <c r="D65"/>
  <c r="C65"/>
  <c r="I64"/>
  <c r="H64"/>
  <c r="G64"/>
  <c r="F64"/>
  <c r="E64"/>
  <c r="D64"/>
  <c r="C64"/>
  <c r="D62"/>
  <c r="C62"/>
  <c r="F61"/>
  <c r="E61"/>
  <c r="D61"/>
  <c r="C61"/>
  <c r="D60"/>
  <c r="C60"/>
  <c r="I58"/>
  <c r="H58"/>
  <c r="G58"/>
  <c r="F58"/>
  <c r="E58"/>
  <c r="D58"/>
  <c r="C58"/>
  <c r="I57"/>
  <c r="H57"/>
  <c r="G57"/>
  <c r="F57"/>
  <c r="E57"/>
  <c r="D57"/>
  <c r="C57"/>
  <c r="E53"/>
  <c r="D53"/>
  <c r="C53"/>
  <c r="I49"/>
  <c r="H49"/>
  <c r="G49"/>
  <c r="F49"/>
  <c r="E49"/>
  <c r="D49"/>
  <c r="C49"/>
  <c r="A25"/>
  <c r="I17"/>
  <c r="H17"/>
  <c r="G17"/>
  <c r="F17"/>
  <c r="E17"/>
  <c r="I16"/>
  <c r="H16"/>
  <c r="G16"/>
  <c r="F16"/>
  <c r="E16"/>
  <c r="I7"/>
  <c r="H7"/>
  <c r="G7"/>
  <c r="F7"/>
  <c r="E7"/>
  <c r="D7"/>
  <c r="C7"/>
  <c r="E6"/>
  <c r="D6"/>
  <c r="C6"/>
  <c r="I1"/>
  <c r="B10" i="20" l="1"/>
  <c r="L10" i="1" s="1"/>
  <c r="B61" i="21"/>
  <c r="A61" s="1"/>
  <c r="B64"/>
  <c r="A64" s="1"/>
  <c r="B57"/>
  <c r="A57" s="1"/>
  <c r="B65"/>
  <c r="A65" s="1"/>
  <c r="B108"/>
  <c r="A108" s="1"/>
  <c r="B66"/>
  <c r="A66" s="1"/>
  <c r="B67"/>
  <c r="A67" s="1"/>
  <c r="B49"/>
  <c r="A48" s="1"/>
  <c r="B58"/>
  <c r="A58" s="1"/>
  <c r="B60"/>
  <c r="A60" s="1"/>
  <c r="D30" i="20"/>
  <c r="N30" i="1" s="1"/>
  <c r="C30" i="20"/>
  <c r="M30" i="1" s="1"/>
  <c r="A49" i="21" l="1"/>
  <c r="F268" i="6" l="1"/>
  <c r="F32" i="20" s="1"/>
  <c r="P32" i="1" s="1"/>
  <c r="E268" i="6"/>
  <c r="E32" i="20" s="1"/>
  <c r="O32" i="1" s="1"/>
  <c r="D268" i="6"/>
  <c r="D32" i="20" s="1"/>
  <c r="N32" i="1" s="1"/>
  <c r="C268" i="6"/>
  <c r="C32" i="20" s="1"/>
  <c r="M32" i="1" s="1"/>
  <c r="C35" i="6" l="1"/>
  <c r="C10" i="21" s="1"/>
  <c r="C34" i="6"/>
  <c r="D22" i="22" s="1"/>
  <c r="C114" i="21" l="1"/>
  <c r="C17"/>
  <c r="C158"/>
  <c r="C149"/>
  <c r="D50" i="20" l="1"/>
  <c r="N50" i="1" s="1"/>
  <c r="C50" i="20"/>
  <c r="M50" i="1" s="1"/>
  <c r="D260" i="6"/>
  <c r="D274" s="1"/>
  <c r="B50" i="20" l="1"/>
  <c r="D38"/>
  <c r="N38" i="1" s="1"/>
  <c r="E38" i="20"/>
  <c r="O38" i="1" s="1"/>
  <c r="F38" i="20"/>
  <c r="P38" i="1" s="1"/>
  <c r="G38" i="20"/>
  <c r="Q38" i="1" s="1"/>
  <c r="H38" i="20"/>
  <c r="R38" i="1" s="1"/>
  <c r="I38" i="20"/>
  <c r="S38" i="1" s="1"/>
  <c r="C38" i="20"/>
  <c r="M38" i="1" s="1"/>
  <c r="D37" i="20"/>
  <c r="N37" i="1" s="1"/>
  <c r="E37" i="20"/>
  <c r="O37" i="1" s="1"/>
  <c r="F37" i="20"/>
  <c r="P37" i="1" s="1"/>
  <c r="G37" i="20"/>
  <c r="Q37" i="1" s="1"/>
  <c r="H37" i="20"/>
  <c r="R37" i="1" s="1"/>
  <c r="I37" i="20"/>
  <c r="S37" i="1" s="1"/>
  <c r="C37" i="20"/>
  <c r="M37" i="1" s="1"/>
  <c r="D34" i="20"/>
  <c r="N34" i="1" s="1"/>
  <c r="E34" i="20"/>
  <c r="O34" i="1" s="1"/>
  <c r="F34" i="20"/>
  <c r="P34" i="1" s="1"/>
  <c r="G34" i="20"/>
  <c r="Q34" i="1" s="1"/>
  <c r="H34" i="20"/>
  <c r="R34" i="1" s="1"/>
  <c r="I34" i="20"/>
  <c r="S34" i="1" s="1"/>
  <c r="C34" i="20"/>
  <c r="M34" i="1" s="1"/>
  <c r="D29" i="20"/>
  <c r="N29" i="1" s="1"/>
  <c r="E29" i="20"/>
  <c r="O29" i="1" s="1"/>
  <c r="F29" i="20"/>
  <c r="P29" i="1" s="1"/>
  <c r="G29" i="20"/>
  <c r="Q29" i="1" s="1"/>
  <c r="H29" i="20"/>
  <c r="R29" i="1" s="1"/>
  <c r="I29" i="20"/>
  <c r="S29" i="1" s="1"/>
  <c r="C29" i="20"/>
  <c r="M29" i="1" s="1"/>
  <c r="D26" i="20"/>
  <c r="N26" i="1" s="1"/>
  <c r="E26" i="20"/>
  <c r="O26" i="1" s="1"/>
  <c r="F26" i="20"/>
  <c r="P26" i="1" s="1"/>
  <c r="G26" i="20"/>
  <c r="Q26" i="1" s="1"/>
  <c r="H26" i="20"/>
  <c r="R26" i="1" s="1"/>
  <c r="I26" i="20"/>
  <c r="S26" i="1" s="1"/>
  <c r="C26" i="20"/>
  <c r="M26" i="1" s="1"/>
  <c r="D265" i="6"/>
  <c r="C265"/>
  <c r="D264"/>
  <c r="C264"/>
  <c r="F266"/>
  <c r="G266"/>
  <c r="H266"/>
  <c r="I266"/>
  <c r="E266"/>
  <c r="D27" i="20"/>
  <c r="E27"/>
  <c r="F27"/>
  <c r="G27"/>
  <c r="H27"/>
  <c r="I27"/>
  <c r="C27"/>
  <c r="D31"/>
  <c r="N31" i="1" s="1"/>
  <c r="C31" i="20"/>
  <c r="M31" i="1" s="1"/>
  <c r="A50" i="20" l="1"/>
  <c r="K50" i="1" s="1"/>
  <c r="L50"/>
  <c r="G28" i="20"/>
  <c r="Q28" i="1" s="1"/>
  <c r="Q27"/>
  <c r="D28" i="20"/>
  <c r="N28" i="1" s="1"/>
  <c r="N27"/>
  <c r="I28" i="20"/>
  <c r="S28" i="1" s="1"/>
  <c r="S27"/>
  <c r="E28" i="20"/>
  <c r="O28" i="1" s="1"/>
  <c r="O27"/>
  <c r="H28" i="20"/>
  <c r="R28" i="1" s="1"/>
  <c r="R27"/>
  <c r="C28" i="20"/>
  <c r="M28" i="1" s="1"/>
  <c r="M27"/>
  <c r="F28" i="20"/>
  <c r="P28" i="1" s="1"/>
  <c r="P27"/>
  <c r="G35" i="20"/>
  <c r="C266" i="6"/>
  <c r="E35" i="20"/>
  <c r="F35"/>
  <c r="I35"/>
  <c r="H35"/>
  <c r="D266" i="6"/>
  <c r="B268"/>
  <c r="G268" s="1"/>
  <c r="B256"/>
  <c r="C256" s="1"/>
  <c r="D36" i="20"/>
  <c r="N36" i="1" s="1"/>
  <c r="E36" i="20"/>
  <c r="O36" i="1" s="1"/>
  <c r="F36" i="20"/>
  <c r="P36" i="1" s="1"/>
  <c r="G36" i="20"/>
  <c r="Q36" i="1" s="1"/>
  <c r="H36" i="20"/>
  <c r="R36" i="1" s="1"/>
  <c r="I36" i="20"/>
  <c r="S36" i="1" s="1"/>
  <c r="C267" i="6"/>
  <c r="C36" i="20" s="1"/>
  <c r="M36" i="1" s="1"/>
  <c r="I42" i="20" l="1"/>
  <c r="S42" i="1" s="1"/>
  <c r="S35"/>
  <c r="G42" i="20"/>
  <c r="Q42" i="1" s="1"/>
  <c r="Q35"/>
  <c r="H42" i="20"/>
  <c r="R42" i="1" s="1"/>
  <c r="R35"/>
  <c r="E42" i="20"/>
  <c r="O42" i="1" s="1"/>
  <c r="O35"/>
  <c r="F42" i="20"/>
  <c r="P42" i="1" s="1"/>
  <c r="P35"/>
  <c r="C35" i="20"/>
  <c r="D35"/>
  <c r="B36"/>
  <c r="D24"/>
  <c r="E260" i="6"/>
  <c r="E273" s="1"/>
  <c r="F260"/>
  <c r="F273" s="1"/>
  <c r="G260"/>
  <c r="H260"/>
  <c r="I260"/>
  <c r="A36" i="20" l="1"/>
  <c r="K36" i="1" s="1"/>
  <c r="L36"/>
  <c r="D42" i="20"/>
  <c r="N42" i="1" s="1"/>
  <c r="N35"/>
  <c r="D41" i="20"/>
  <c r="N41" i="1" s="1"/>
  <c r="N24"/>
  <c r="C42" i="20"/>
  <c r="M42" i="1" s="1"/>
  <c r="M35"/>
  <c r="H24" i="20"/>
  <c r="H274" i="6"/>
  <c r="G24" i="20"/>
  <c r="G274" i="6"/>
  <c r="H273"/>
  <c r="F24" i="20"/>
  <c r="F274" i="6"/>
  <c r="G273"/>
  <c r="I24" i="20"/>
  <c r="I274" i="6"/>
  <c r="E24" i="20"/>
  <c r="E274" i="6"/>
  <c r="I273"/>
  <c r="B35" i="20"/>
  <c r="B11"/>
  <c r="L11" i="1" s="1"/>
  <c r="B42" i="20" l="1"/>
  <c r="L42" i="1" s="1"/>
  <c r="I41" i="20"/>
  <c r="S41" i="1" s="1"/>
  <c r="S24"/>
  <c r="H41" i="20"/>
  <c r="R41" i="1" s="1"/>
  <c r="R24"/>
  <c r="A35" i="20"/>
  <c r="K35" i="1" s="1"/>
  <c r="L35"/>
  <c r="G41" i="20"/>
  <c r="Q41" i="1" s="1"/>
  <c r="Q24"/>
  <c r="F41" i="20"/>
  <c r="P41" i="1" s="1"/>
  <c r="P24"/>
  <c r="E41" i="20"/>
  <c r="O41" i="1" s="1"/>
  <c r="O24"/>
  <c r="A17" i="20"/>
  <c r="K17" i="1" s="1"/>
  <c r="A20" i="20"/>
  <c r="K20" i="1" s="1"/>
  <c r="B17" i="20"/>
  <c r="L17" i="1" s="1"/>
  <c r="A18" i="20"/>
  <c r="K18" i="1" s="1"/>
  <c r="B15" i="20"/>
  <c r="L15" i="1" s="1"/>
  <c r="B16" i="20"/>
  <c r="L16" i="1" s="1"/>
  <c r="B14" i="20"/>
  <c r="L14" i="1" s="1"/>
  <c r="A16" i="20"/>
  <c r="K16" i="1" s="1"/>
  <c r="A15" i="20"/>
  <c r="K15" i="1" s="1"/>
  <c r="C14" i="20"/>
  <c r="M14" i="1" s="1"/>
  <c r="A14" i="20"/>
  <c r="K14" i="1" s="1"/>
  <c r="A13" i="20"/>
  <c r="K13" i="1" s="1"/>
  <c r="A9" i="20"/>
  <c r="K9" i="1" s="1"/>
  <c r="E23" i="20"/>
  <c r="O23" i="1" s="1"/>
  <c r="D23" i="20"/>
  <c r="N23" i="1" s="1"/>
  <c r="C23" i="20"/>
  <c r="M23" i="1" s="1"/>
  <c r="I6" i="20"/>
  <c r="S6" i="1" s="1"/>
  <c r="H6" i="20"/>
  <c r="R6" i="1" s="1"/>
  <c r="G6" i="20"/>
  <c r="Q6" i="1" s="1"/>
  <c r="F6" i="20"/>
  <c r="P6" i="1" s="1"/>
  <c r="E6" i="20"/>
  <c r="O6" i="1" s="1"/>
  <c r="D6" i="20"/>
  <c r="N6" i="1" s="1"/>
  <c r="C6" i="20"/>
  <c r="M6" i="1" s="1"/>
  <c r="E5" i="20"/>
  <c r="O5" i="1" s="1"/>
  <c r="D5" i="20"/>
  <c r="N5" i="1" s="1"/>
  <c r="C5" i="20"/>
  <c r="M5" i="1" s="1"/>
  <c r="B3" i="20"/>
  <c r="L3" i="1" s="1"/>
  <c r="I1" i="20"/>
  <c r="D279" i="6"/>
  <c r="D47" i="20" s="1"/>
  <c r="N47" i="1" s="1"/>
  <c r="E279" i="6"/>
  <c r="E47" i="20" s="1"/>
  <c r="O47" i="1" s="1"/>
  <c r="F279" i="6"/>
  <c r="F47" i="20" s="1"/>
  <c r="P47" i="1" s="1"/>
  <c r="G279" i="6"/>
  <c r="G47" i="20" s="1"/>
  <c r="Q47" i="1" s="1"/>
  <c r="H279" i="6"/>
  <c r="H47" i="20" s="1"/>
  <c r="R47" i="1" s="1"/>
  <c r="I279" i="6"/>
  <c r="I47" i="20" s="1"/>
  <c r="S47" i="1" s="1"/>
  <c r="C279" i="6"/>
  <c r="C47" i="20" s="1"/>
  <c r="M47" i="1" s="1"/>
  <c r="D262" i="6"/>
  <c r="D25" i="20" s="1"/>
  <c r="N25" i="1" s="1"/>
  <c r="E262" i="6"/>
  <c r="E25" i="20" s="1"/>
  <c r="O25" i="1" s="1"/>
  <c r="F262" i="6"/>
  <c r="F25" i="20" s="1"/>
  <c r="G262" i="6"/>
  <c r="G25" i="20" s="1"/>
  <c r="H262" i="6"/>
  <c r="H25" i="20" s="1"/>
  <c r="I262" i="6"/>
  <c r="I25" i="20" s="1"/>
  <c r="C262" i="6"/>
  <c r="C25" i="20" s="1"/>
  <c r="M25" i="1" s="1"/>
  <c r="C260" i="6"/>
  <c r="B260" s="1"/>
  <c r="A261" s="1"/>
  <c r="D275"/>
  <c r="E275"/>
  <c r="F275"/>
  <c r="G275"/>
  <c r="H275"/>
  <c r="I275"/>
  <c r="A42" i="20" l="1"/>
  <c r="K42" i="1" s="1"/>
  <c r="G49" i="20"/>
  <c r="Q49" i="1" s="1"/>
  <c r="Q25"/>
  <c r="H49" i="20"/>
  <c r="R49" i="1" s="1"/>
  <c r="R25"/>
  <c r="I49" i="20"/>
  <c r="S49" i="1" s="1"/>
  <c r="S25"/>
  <c r="F49" i="20"/>
  <c r="P49" i="1" s="1"/>
  <c r="P25"/>
  <c r="C24" i="20"/>
  <c r="B47"/>
  <c r="E49"/>
  <c r="B18"/>
  <c r="L18" i="1" s="1"/>
  <c r="B37" i="20"/>
  <c r="B28"/>
  <c r="B32"/>
  <c r="B34"/>
  <c r="B26"/>
  <c r="B38"/>
  <c r="B31"/>
  <c r="D250" i="6"/>
  <c r="E250"/>
  <c r="F250"/>
  <c r="G250"/>
  <c r="H250"/>
  <c r="I250"/>
  <c r="C250"/>
  <c r="B12" i="20"/>
  <c r="L12" i="1" s="1"/>
  <c r="A254" i="6"/>
  <c r="A12" i="20" s="1"/>
  <c r="K12" i="1" s="1"/>
  <c r="A256" i="6"/>
  <c r="A258"/>
  <c r="A257"/>
  <c r="A255"/>
  <c r="A47" i="20" l="1"/>
  <c r="K47" i="1" s="1"/>
  <c r="L47"/>
  <c r="B49" i="20"/>
  <c r="O49" i="1"/>
  <c r="C41" i="20"/>
  <c r="M24" i="1"/>
  <c r="A26" i="20"/>
  <c r="K26" i="1" s="1"/>
  <c r="L26"/>
  <c r="A37" i="20"/>
  <c r="K37" i="1" s="1"/>
  <c r="L37"/>
  <c r="A34" i="20"/>
  <c r="K34" i="1" s="1"/>
  <c r="L34"/>
  <c r="A38" i="20"/>
  <c r="K38" i="1" s="1"/>
  <c r="L38"/>
  <c r="A28" i="20"/>
  <c r="K28" i="1" s="1"/>
  <c r="L28"/>
  <c r="A32" i="20"/>
  <c r="K32" i="1" s="1"/>
  <c r="L32"/>
  <c r="A31" i="20"/>
  <c r="K31" i="1" s="1"/>
  <c r="L31"/>
  <c r="C275" i="6"/>
  <c r="D50" i="17"/>
  <c r="AH50" i="1" s="1"/>
  <c r="E50" i="17"/>
  <c r="AI50" i="1" s="1"/>
  <c r="F50" i="17"/>
  <c r="AJ50" i="1" s="1"/>
  <c r="G50" i="17"/>
  <c r="AK50" i="1" s="1"/>
  <c r="C50" i="17"/>
  <c r="AG50" i="1" s="1"/>
  <c r="D49" i="17"/>
  <c r="AH49" i="1" s="1"/>
  <c r="E49" i="17"/>
  <c r="AI49" i="1" s="1"/>
  <c r="F49" i="17"/>
  <c r="AJ49" i="1" s="1"/>
  <c r="G49" i="17"/>
  <c r="AK49" i="1" s="1"/>
  <c r="C49" i="17"/>
  <c r="AG49" i="1" s="1"/>
  <c r="A49" i="20" l="1"/>
  <c r="K49" i="1" s="1"/>
  <c r="L49"/>
  <c r="B41" i="20"/>
  <c r="M41" i="1"/>
  <c r="B19" i="17"/>
  <c r="AF19" i="1" s="1"/>
  <c r="D18" i="17"/>
  <c r="AH18" i="1" s="1"/>
  <c r="F18" i="17"/>
  <c r="AJ18" i="1" s="1"/>
  <c r="G18" i="17"/>
  <c r="AK18" i="1" s="1"/>
  <c r="D17" i="17"/>
  <c r="AH17" i="1" s="1"/>
  <c r="E17" i="17"/>
  <c r="AI17" i="1" s="1"/>
  <c r="F17" i="17"/>
  <c r="AJ17" i="1" s="1"/>
  <c r="G17" i="17"/>
  <c r="AK17" i="1" s="1"/>
  <c r="C17" i="17"/>
  <c r="AG17" i="1" s="1"/>
  <c r="I167" i="19"/>
  <c r="H167"/>
  <c r="G167"/>
  <c r="F167"/>
  <c r="E167"/>
  <c r="D167"/>
  <c r="C167"/>
  <c r="I153"/>
  <c r="H153"/>
  <c r="G153"/>
  <c r="F153"/>
  <c r="E153"/>
  <c r="D153"/>
  <c r="C153"/>
  <c r="E126"/>
  <c r="D126"/>
  <c r="C126"/>
  <c r="I120"/>
  <c r="H120"/>
  <c r="G120"/>
  <c r="I109"/>
  <c r="H109"/>
  <c r="G109"/>
  <c r="F109"/>
  <c r="E109"/>
  <c r="D109"/>
  <c r="C109"/>
  <c r="I68"/>
  <c r="H68"/>
  <c r="G68"/>
  <c r="F68"/>
  <c r="E68"/>
  <c r="D68"/>
  <c r="C68"/>
  <c r="B67"/>
  <c r="I66"/>
  <c r="H66"/>
  <c r="G66"/>
  <c r="F66"/>
  <c r="E66"/>
  <c r="D66"/>
  <c r="C66"/>
  <c r="I65"/>
  <c r="H65"/>
  <c r="G65"/>
  <c r="F65"/>
  <c r="E65"/>
  <c r="D65"/>
  <c r="C65"/>
  <c r="I64"/>
  <c r="H64"/>
  <c r="G64"/>
  <c r="F64"/>
  <c r="E64"/>
  <c r="D64"/>
  <c r="C64"/>
  <c r="D62"/>
  <c r="C62"/>
  <c r="F61"/>
  <c r="E61"/>
  <c r="D61"/>
  <c r="C61"/>
  <c r="D60"/>
  <c r="C60"/>
  <c r="I58"/>
  <c r="H58"/>
  <c r="G58"/>
  <c r="F58"/>
  <c r="E58"/>
  <c r="D58"/>
  <c r="C58"/>
  <c r="I57"/>
  <c r="H57"/>
  <c r="G57"/>
  <c r="F57"/>
  <c r="E57"/>
  <c r="D57"/>
  <c r="C57"/>
  <c r="E53"/>
  <c r="D53"/>
  <c r="C53"/>
  <c r="I49"/>
  <c r="H49"/>
  <c r="G49"/>
  <c r="F49"/>
  <c r="E49"/>
  <c r="D49"/>
  <c r="C49"/>
  <c r="A25"/>
  <c r="I17"/>
  <c r="H17"/>
  <c r="G17"/>
  <c r="F17"/>
  <c r="E17"/>
  <c r="I16"/>
  <c r="H16"/>
  <c r="G16"/>
  <c r="F16"/>
  <c r="E16"/>
  <c r="C10"/>
  <c r="I7"/>
  <c r="H7"/>
  <c r="G7"/>
  <c r="F7"/>
  <c r="E7"/>
  <c r="D7"/>
  <c r="C7"/>
  <c r="E6"/>
  <c r="D6"/>
  <c r="C6"/>
  <c r="B3"/>
  <c r="I1"/>
  <c r="A41" i="20" l="1"/>
  <c r="K41" i="1" s="1"/>
  <c r="L41"/>
  <c r="B60" i="19"/>
  <c r="A60" s="1"/>
  <c r="B61"/>
  <c r="A61" s="1"/>
  <c r="B64"/>
  <c r="A64" s="1"/>
  <c r="B68"/>
  <c r="A68" s="1"/>
  <c r="B109"/>
  <c r="A109" s="1"/>
  <c r="B49"/>
  <c r="A49" s="1"/>
  <c r="B58"/>
  <c r="A58" s="1"/>
  <c r="B57"/>
  <c r="A57" s="1"/>
  <c r="B65"/>
  <c r="A65" s="1"/>
  <c r="B17" i="17"/>
  <c r="AF17" i="1" s="1"/>
  <c r="B66" i="19"/>
  <c r="A66" s="1"/>
  <c r="C150"/>
  <c r="C159"/>
  <c r="C17"/>
  <c r="D56" i="17"/>
  <c r="AH56" i="1" s="1"/>
  <c r="E56" i="17"/>
  <c r="AI56" i="1" s="1"/>
  <c r="F56" i="17"/>
  <c r="AJ56" i="1" s="1"/>
  <c r="G56" i="17"/>
  <c r="C56"/>
  <c r="AG56" i="1" s="1"/>
  <c r="G27" i="17" l="1"/>
  <c r="AK27" i="1" s="1"/>
  <c r="AK56"/>
  <c r="A48" i="19"/>
  <c r="B49" i="17"/>
  <c r="AF49" i="1" s="1"/>
  <c r="F27" i="17"/>
  <c r="AJ27" i="1" s="1"/>
  <c r="B50" i="17"/>
  <c r="AF50" i="1" s="1"/>
  <c r="E27" i="17"/>
  <c r="AI27" i="1" s="1"/>
  <c r="D27" i="17"/>
  <c r="AH27" i="1" s="1"/>
  <c r="B56" i="17"/>
  <c r="AF56" i="1" s="1"/>
  <c r="C27" i="17"/>
  <c r="AG27" i="1" s="1"/>
  <c r="D16" i="17"/>
  <c r="AH16" i="1" s="1"/>
  <c r="E16" i="17"/>
  <c r="AI16" i="1" s="1"/>
  <c r="F16" i="17"/>
  <c r="AJ16" i="1" s="1"/>
  <c r="G16" i="17"/>
  <c r="AK16" i="1" s="1"/>
  <c r="C16" i="17"/>
  <c r="AG16" i="1" s="1"/>
  <c r="B27" i="17" l="1"/>
  <c r="AF27" i="1" s="1"/>
  <c r="C30" i="17"/>
  <c r="AG30" i="1" s="1"/>
  <c r="D30" i="17"/>
  <c r="AH30" i="1" s="1"/>
  <c r="E30" i="17"/>
  <c r="AI30" i="1" s="1"/>
  <c r="C10" i="17" l="1"/>
  <c r="AG10" i="1" s="1"/>
  <c r="D7" i="17"/>
  <c r="AH7" i="1" s="1"/>
  <c r="E7" i="17"/>
  <c r="AI7" i="1" s="1"/>
  <c r="F7" i="17"/>
  <c r="AJ7" i="1" s="1"/>
  <c r="G7" i="17"/>
  <c r="AK7" i="1" s="1"/>
  <c r="C7" i="17"/>
  <c r="AG7" i="1" s="1"/>
  <c r="E6" i="17"/>
  <c r="AI6" i="1" s="1"/>
  <c r="D6" i="17"/>
  <c r="AH6" i="1" s="1"/>
  <c r="C6" i="17"/>
  <c r="AG6" i="1" s="1"/>
  <c r="B4" i="17"/>
  <c r="AF4" i="1" s="1"/>
  <c r="D133" i="5" l="1"/>
  <c r="H133"/>
  <c r="H132"/>
  <c r="H131"/>
  <c r="D131"/>
  <c r="H130"/>
  <c r="D130"/>
  <c r="H129"/>
  <c r="D129"/>
  <c r="D36" i="13" l="1"/>
  <c r="E36"/>
  <c r="F36"/>
  <c r="G36"/>
  <c r="H36"/>
  <c r="I36"/>
  <c r="C36"/>
  <c r="I224" i="6" l="1"/>
  <c r="H224"/>
  <c r="G224"/>
  <c r="F224"/>
  <c r="E224"/>
  <c r="D224"/>
  <c r="C224"/>
  <c r="E223"/>
  <c r="D223"/>
  <c r="C223"/>
  <c r="C15" i="13" l="1"/>
  <c r="C24" l="1"/>
  <c r="A24"/>
  <c r="D20" l="1"/>
  <c r="E20"/>
  <c r="F20"/>
  <c r="G20"/>
  <c r="H20"/>
  <c r="I20"/>
  <c r="D19"/>
  <c r="E19"/>
  <c r="F19"/>
  <c r="G19"/>
  <c r="H19"/>
  <c r="I19"/>
  <c r="C20"/>
  <c r="C19"/>
  <c r="A19"/>
  <c r="C21" l="1"/>
  <c r="I21"/>
  <c r="E21"/>
  <c r="G21"/>
  <c r="F21"/>
  <c r="H21"/>
  <c r="D21"/>
  <c r="B343" i="11"/>
  <c r="B342"/>
  <c r="B338"/>
  <c r="B337"/>
  <c r="B333"/>
  <c r="B332"/>
  <c r="B328"/>
  <c r="B327"/>
  <c r="B323"/>
  <c r="B322"/>
  <c r="B318"/>
  <c r="B317"/>
  <c r="B313"/>
  <c r="B312"/>
  <c r="C299"/>
  <c r="D299"/>
  <c r="E299"/>
  <c r="F299"/>
  <c r="G299"/>
  <c r="H299"/>
  <c r="B299"/>
  <c r="C297"/>
  <c r="D297"/>
  <c r="B297"/>
  <c r="D34" i="13" l="1"/>
  <c r="E34"/>
  <c r="C34"/>
  <c r="G37"/>
  <c r="F37"/>
  <c r="E37"/>
  <c r="D37"/>
  <c r="C37"/>
  <c r="H37" l="1"/>
  <c r="I37"/>
  <c r="I183" i="11"/>
  <c r="H183"/>
  <c r="G183"/>
  <c r="F183"/>
  <c r="E183"/>
  <c r="D183"/>
  <c r="C183"/>
  <c r="E148"/>
  <c r="D148"/>
  <c r="C148"/>
  <c r="I142"/>
  <c r="H142"/>
  <c r="G142"/>
  <c r="I70"/>
  <c r="H70"/>
  <c r="G70"/>
  <c r="F70"/>
  <c r="E70"/>
  <c r="E53"/>
  <c r="D53"/>
  <c r="C53"/>
  <c r="A25"/>
  <c r="I7"/>
  <c r="H7"/>
  <c r="G7"/>
  <c r="F7"/>
  <c r="E7"/>
  <c r="D7"/>
  <c r="C7"/>
  <c r="E6"/>
  <c r="D6"/>
  <c r="C6"/>
  <c r="B3"/>
  <c r="I167" i="16"/>
  <c r="H167"/>
  <c r="G167"/>
  <c r="F167"/>
  <c r="E167"/>
  <c r="D167"/>
  <c r="C167"/>
  <c r="I153"/>
  <c r="H153"/>
  <c r="G153"/>
  <c r="F153"/>
  <c r="E153"/>
  <c r="D153"/>
  <c r="C153"/>
  <c r="E126"/>
  <c r="D126"/>
  <c r="C126"/>
  <c r="I120"/>
  <c r="H120"/>
  <c r="G120"/>
  <c r="I109"/>
  <c r="H109"/>
  <c r="G109"/>
  <c r="F109"/>
  <c r="E109"/>
  <c r="D109"/>
  <c r="C109"/>
  <c r="I68"/>
  <c r="H68"/>
  <c r="G68"/>
  <c r="F68"/>
  <c r="E68"/>
  <c r="D68"/>
  <c r="C68"/>
  <c r="B67"/>
  <c r="I66"/>
  <c r="H66"/>
  <c r="G66"/>
  <c r="F66"/>
  <c r="E66"/>
  <c r="D66"/>
  <c r="C66"/>
  <c r="I65"/>
  <c r="H65"/>
  <c r="G65"/>
  <c r="F65"/>
  <c r="E65"/>
  <c r="D65"/>
  <c r="C65"/>
  <c r="I64"/>
  <c r="H64"/>
  <c r="G64"/>
  <c r="F64"/>
  <c r="E64"/>
  <c r="D64"/>
  <c r="C64"/>
  <c r="D62"/>
  <c r="C62"/>
  <c r="F61"/>
  <c r="E61"/>
  <c r="D61"/>
  <c r="C61"/>
  <c r="D60"/>
  <c r="C60"/>
  <c r="I58"/>
  <c r="H58"/>
  <c r="G58"/>
  <c r="F58"/>
  <c r="E58"/>
  <c r="D58"/>
  <c r="C58"/>
  <c r="I57"/>
  <c r="H57"/>
  <c r="G57"/>
  <c r="F57"/>
  <c r="E57"/>
  <c r="D57"/>
  <c r="C57"/>
  <c r="E53"/>
  <c r="D53"/>
  <c r="C53"/>
  <c r="I49"/>
  <c r="H49"/>
  <c r="G49"/>
  <c r="F49"/>
  <c r="E49"/>
  <c r="D49"/>
  <c r="C49"/>
  <c r="A25"/>
  <c r="I17"/>
  <c r="H17"/>
  <c r="G17"/>
  <c r="F17"/>
  <c r="E17"/>
  <c r="I16"/>
  <c r="H16"/>
  <c r="G16"/>
  <c r="F16"/>
  <c r="E16"/>
  <c r="I7"/>
  <c r="H7"/>
  <c r="G7"/>
  <c r="F7"/>
  <c r="E7"/>
  <c r="D7"/>
  <c r="C7"/>
  <c r="E6"/>
  <c r="D6"/>
  <c r="C6"/>
  <c r="B3"/>
  <c r="I1"/>
  <c r="D134" i="15"/>
  <c r="E134"/>
  <c r="F134"/>
  <c r="G134"/>
  <c r="H134"/>
  <c r="I134"/>
  <c r="C135"/>
  <c r="C134"/>
  <c r="B66" i="16" l="1"/>
  <c r="A66" s="1"/>
  <c r="B109"/>
  <c r="A109" s="1"/>
  <c r="B64"/>
  <c r="A64" s="1"/>
  <c r="B49"/>
  <c r="A48" s="1"/>
  <c r="B65"/>
  <c r="A65" s="1"/>
  <c r="B68"/>
  <c r="A68" s="1"/>
  <c r="B61"/>
  <c r="A61" s="1"/>
  <c r="B58"/>
  <c r="A58" s="1"/>
  <c r="B57"/>
  <c r="A57" s="1"/>
  <c r="B60"/>
  <c r="A60" s="1"/>
  <c r="D215" i="15"/>
  <c r="D126" i="11" s="1"/>
  <c r="E215" i="15"/>
  <c r="E126" i="11" s="1"/>
  <c r="F215" i="15"/>
  <c r="F126" i="11" s="1"/>
  <c r="G215" i="15"/>
  <c r="G126" i="11" s="1"/>
  <c r="H215" i="15"/>
  <c r="H126" i="11" s="1"/>
  <c r="I215" i="15"/>
  <c r="I126" i="11" s="1"/>
  <c r="C215" i="15"/>
  <c r="C126" i="11" s="1"/>
  <c r="D223" i="15"/>
  <c r="E223"/>
  <c r="F223"/>
  <c r="G223"/>
  <c r="H223"/>
  <c r="I223"/>
  <c r="C223"/>
  <c r="A223"/>
  <c r="A49" i="16" l="1"/>
  <c r="D222" i="15"/>
  <c r="E222"/>
  <c r="C222"/>
  <c r="D218"/>
  <c r="D220" s="1"/>
  <c r="E218"/>
  <c r="E220" s="1"/>
  <c r="F218"/>
  <c r="G218"/>
  <c r="G220" s="1"/>
  <c r="G221" s="1"/>
  <c r="H218"/>
  <c r="H220" s="1"/>
  <c r="H221" s="1"/>
  <c r="I218"/>
  <c r="I220" s="1"/>
  <c r="I221" s="1"/>
  <c r="D217"/>
  <c r="E217"/>
  <c r="F217"/>
  <c r="G217"/>
  <c r="H217"/>
  <c r="I217"/>
  <c r="D216"/>
  <c r="C216"/>
  <c r="C217"/>
  <c r="C218"/>
  <c r="D206"/>
  <c r="E206"/>
  <c r="E208" s="1"/>
  <c r="E209" s="1"/>
  <c r="F206"/>
  <c r="F208" s="1"/>
  <c r="F209" s="1"/>
  <c r="D203"/>
  <c r="E203"/>
  <c r="F203"/>
  <c r="G203"/>
  <c r="H203"/>
  <c r="I203"/>
  <c r="C203"/>
  <c r="D202"/>
  <c r="E202"/>
  <c r="F202"/>
  <c r="G202"/>
  <c r="H202"/>
  <c r="I202"/>
  <c r="C202"/>
  <c r="D197"/>
  <c r="D75" i="11" s="1"/>
  <c r="E197" i="15"/>
  <c r="E75" i="11" s="1"/>
  <c r="F197" i="15"/>
  <c r="F75" i="11" s="1"/>
  <c r="G197" i="15"/>
  <c r="G75" i="11" s="1"/>
  <c r="H197" i="15"/>
  <c r="H75" i="11" s="1"/>
  <c r="I197" i="15"/>
  <c r="I75" i="11" s="1"/>
  <c r="D196" i="15"/>
  <c r="D71" i="11" s="1"/>
  <c r="E196" i="15"/>
  <c r="E71" i="11" s="1"/>
  <c r="F196" i="15"/>
  <c r="F71" i="11" s="1"/>
  <c r="G196" i="15"/>
  <c r="G71" i="11" s="1"/>
  <c r="H196" i="15"/>
  <c r="H71" i="11" s="1"/>
  <c r="I196" i="15"/>
  <c r="I71" i="11" s="1"/>
  <c r="D195" i="15"/>
  <c r="D70" i="11" s="1"/>
  <c r="C195" i="15"/>
  <c r="C70" i="11" s="1"/>
  <c r="C196" i="15"/>
  <c r="C71" i="11" s="1"/>
  <c r="C197" i="15"/>
  <c r="C75" i="11" s="1"/>
  <c r="D194" i="15"/>
  <c r="D69" i="11" s="1"/>
  <c r="E194" i="15"/>
  <c r="E69" i="11" s="1"/>
  <c r="F194" i="15"/>
  <c r="F69" i="11" s="1"/>
  <c r="G194" i="15"/>
  <c r="G69" i="11" s="1"/>
  <c r="H194" i="15"/>
  <c r="H69" i="11" s="1"/>
  <c r="I194" i="15"/>
  <c r="I69" i="11" s="1"/>
  <c r="C194" i="15"/>
  <c r="C69" i="11" s="1"/>
  <c r="D191" i="15"/>
  <c r="D193" s="1"/>
  <c r="D68" i="11" s="1"/>
  <c r="E191" i="15"/>
  <c r="F191"/>
  <c r="G191"/>
  <c r="H191"/>
  <c r="I191"/>
  <c r="C191"/>
  <c r="C193" s="1"/>
  <c r="C68" i="11" s="1"/>
  <c r="D190" i="15"/>
  <c r="D67" i="11" s="1"/>
  <c r="C190" i="15"/>
  <c r="C67" i="11" s="1"/>
  <c r="D184" i="15"/>
  <c r="E184"/>
  <c r="F184"/>
  <c r="C184"/>
  <c r="D182"/>
  <c r="E182"/>
  <c r="F182"/>
  <c r="C182"/>
  <c r="D180"/>
  <c r="E180"/>
  <c r="F180"/>
  <c r="D179"/>
  <c r="E179"/>
  <c r="F179"/>
  <c r="C179"/>
  <c r="C180"/>
  <c r="D178"/>
  <c r="E178"/>
  <c r="E66" i="11" s="1"/>
  <c r="F178" i="15"/>
  <c r="F66" i="11" s="1"/>
  <c r="C178" i="15"/>
  <c r="C66" i="11" s="1"/>
  <c r="D174" i="15"/>
  <c r="D173"/>
  <c r="D175" s="1"/>
  <c r="D172"/>
  <c r="D65" i="11" s="1"/>
  <c r="C173" i="15"/>
  <c r="C175" s="1"/>
  <c r="C174"/>
  <c r="C172"/>
  <c r="C65" i="11" s="1"/>
  <c r="D166" i="15"/>
  <c r="E166"/>
  <c r="F166"/>
  <c r="G166"/>
  <c r="H166"/>
  <c r="I166"/>
  <c r="D165"/>
  <c r="D167" s="1"/>
  <c r="E165"/>
  <c r="E167" s="1"/>
  <c r="F165"/>
  <c r="F167" s="1"/>
  <c r="G165"/>
  <c r="G167" s="1"/>
  <c r="H165"/>
  <c r="H167" s="1"/>
  <c r="I165"/>
  <c r="I167" s="1"/>
  <c r="C165"/>
  <c r="C167" s="1"/>
  <c r="C166"/>
  <c r="D164"/>
  <c r="D169" s="1"/>
  <c r="E164"/>
  <c r="E169" s="1"/>
  <c r="F164"/>
  <c r="F169" s="1"/>
  <c r="G164"/>
  <c r="G169" s="1"/>
  <c r="H164"/>
  <c r="H169" s="1"/>
  <c r="I164"/>
  <c r="I169" s="1"/>
  <c r="C164"/>
  <c r="C169" s="1"/>
  <c r="D143"/>
  <c r="E143"/>
  <c r="F143"/>
  <c r="G143"/>
  <c r="H143"/>
  <c r="I143"/>
  <c r="C143"/>
  <c r="D142"/>
  <c r="E142"/>
  <c r="F142"/>
  <c r="G142"/>
  <c r="H142"/>
  <c r="I142"/>
  <c r="C142"/>
  <c r="D139"/>
  <c r="D62" i="11" s="1"/>
  <c r="E139" i="15"/>
  <c r="E62" i="11" s="1"/>
  <c r="F139" i="15"/>
  <c r="F62" i="11" s="1"/>
  <c r="G139" i="15"/>
  <c r="G62" i="11" s="1"/>
  <c r="H139" i="15"/>
  <c r="H62" i="11" s="1"/>
  <c r="I139" i="15"/>
  <c r="I62" i="11" s="1"/>
  <c r="C139" i="15"/>
  <c r="C62" i="11" s="1"/>
  <c r="D138" i="15"/>
  <c r="D145" s="1"/>
  <c r="E138"/>
  <c r="E63" i="11" s="1"/>
  <c r="F138" i="15"/>
  <c r="F63" i="11" s="1"/>
  <c r="G138" i="15"/>
  <c r="G63" i="11" s="1"/>
  <c r="H138" i="15"/>
  <c r="H145" s="1"/>
  <c r="I138"/>
  <c r="I63" i="11" s="1"/>
  <c r="C138" i="15"/>
  <c r="D136"/>
  <c r="D153" s="1"/>
  <c r="D154" s="1"/>
  <c r="D155" s="1"/>
  <c r="E136"/>
  <c r="E146" s="1"/>
  <c r="F136"/>
  <c r="F153" s="1"/>
  <c r="G136"/>
  <c r="G153" s="1"/>
  <c r="G154" s="1"/>
  <c r="G155" s="1"/>
  <c r="H136"/>
  <c r="H153" s="1"/>
  <c r="H154" s="1"/>
  <c r="H155" s="1"/>
  <c r="I136"/>
  <c r="I146" s="1"/>
  <c r="C136"/>
  <c r="C146" s="1"/>
  <c r="D129"/>
  <c r="D130" s="1"/>
  <c r="E129"/>
  <c r="E130" s="1"/>
  <c r="F129"/>
  <c r="F130" s="1"/>
  <c r="G129"/>
  <c r="G130" s="1"/>
  <c r="H129"/>
  <c r="H130" s="1"/>
  <c r="I129"/>
  <c r="I130" s="1"/>
  <c r="C129"/>
  <c r="D128"/>
  <c r="E128"/>
  <c r="F128"/>
  <c r="G128"/>
  <c r="H128"/>
  <c r="I128"/>
  <c r="C128"/>
  <c r="D125"/>
  <c r="E125"/>
  <c r="F125"/>
  <c r="G125"/>
  <c r="H125"/>
  <c r="I125"/>
  <c r="C125"/>
  <c r="D123"/>
  <c r="D124" s="1"/>
  <c r="E123"/>
  <c r="E124" s="1"/>
  <c r="F123"/>
  <c r="F124" s="1"/>
  <c r="G123"/>
  <c r="G124" s="1"/>
  <c r="H123"/>
  <c r="H124" s="1"/>
  <c r="I123"/>
  <c r="I124" s="1"/>
  <c r="C123"/>
  <c r="C124" s="1"/>
  <c r="D122"/>
  <c r="E122"/>
  <c r="F122"/>
  <c r="G122"/>
  <c r="H122"/>
  <c r="I122"/>
  <c r="C122"/>
  <c r="D117"/>
  <c r="D49" i="11" s="1"/>
  <c r="E117" i="15"/>
  <c r="E49" i="11" s="1"/>
  <c r="F117" i="15"/>
  <c r="F49" i="11" s="1"/>
  <c r="G117" i="15"/>
  <c r="G49" i="11" s="1"/>
  <c r="H117" i="15"/>
  <c r="H49" i="11" s="1"/>
  <c r="I117" i="15"/>
  <c r="I49" i="11" s="1"/>
  <c r="C117" i="15"/>
  <c r="C49" i="11" s="1"/>
  <c r="B115" i="15"/>
  <c r="B105"/>
  <c r="B106"/>
  <c r="B107"/>
  <c r="B104"/>
  <c r="B102"/>
  <c r="D99"/>
  <c r="E99"/>
  <c r="F99"/>
  <c r="G99"/>
  <c r="H99"/>
  <c r="I99"/>
  <c r="C99"/>
  <c r="B95"/>
  <c r="D94"/>
  <c r="E94"/>
  <c r="E17" i="11" s="1"/>
  <c r="F94" i="15"/>
  <c r="F17" i="11" s="1"/>
  <c r="G94" i="15"/>
  <c r="G17" i="11" s="1"/>
  <c r="H94" i="15"/>
  <c r="H17" i="11" s="1"/>
  <c r="I94" i="15"/>
  <c r="I17" i="11" s="1"/>
  <c r="C94" i="15"/>
  <c r="E93"/>
  <c r="E16" i="11" s="1"/>
  <c r="F93" i="15"/>
  <c r="F16" i="11" s="1"/>
  <c r="G93" i="15"/>
  <c r="G16" i="11" s="1"/>
  <c r="H93" i="15"/>
  <c r="H16" i="11" s="1"/>
  <c r="I93" i="15"/>
  <c r="I16" i="11" s="1"/>
  <c r="D91" i="15"/>
  <c r="D92" s="1"/>
  <c r="E91"/>
  <c r="F91"/>
  <c r="G91"/>
  <c r="H91"/>
  <c r="I91"/>
  <c r="C91"/>
  <c r="C92" s="1"/>
  <c r="C46"/>
  <c r="D37"/>
  <c r="D38" s="1"/>
  <c r="D39" s="1"/>
  <c r="E37"/>
  <c r="E38" s="1"/>
  <c r="E39" s="1"/>
  <c r="C37"/>
  <c r="C38" s="1"/>
  <c r="C39" s="1"/>
  <c r="E35"/>
  <c r="F35"/>
  <c r="G35"/>
  <c r="H35"/>
  <c r="I35"/>
  <c r="D8"/>
  <c r="D9" s="1"/>
  <c r="D10" s="1"/>
  <c r="E8"/>
  <c r="E9" s="1"/>
  <c r="F8"/>
  <c r="G8"/>
  <c r="G9" s="1"/>
  <c r="G10" s="1"/>
  <c r="H8"/>
  <c r="H9" s="1"/>
  <c r="H10" s="1"/>
  <c r="I8"/>
  <c r="C8"/>
  <c r="C9" s="1"/>
  <c r="C10" s="1"/>
  <c r="B5"/>
  <c r="F225"/>
  <c r="G225" s="1"/>
  <c r="F220"/>
  <c r="F221" s="1"/>
  <c r="I200"/>
  <c r="H200"/>
  <c r="G200"/>
  <c r="F200"/>
  <c r="E200"/>
  <c r="D200"/>
  <c r="C200"/>
  <c r="I176"/>
  <c r="H176"/>
  <c r="G176"/>
  <c r="F176"/>
  <c r="E176"/>
  <c r="E120"/>
  <c r="D120"/>
  <c r="C120"/>
  <c r="I79"/>
  <c r="A72" i="11"/>
  <c r="D72"/>
  <c r="E72"/>
  <c r="F72"/>
  <c r="G72"/>
  <c r="H72"/>
  <c r="I72"/>
  <c r="C72"/>
  <c r="D68" i="14"/>
  <c r="E68"/>
  <c r="F68"/>
  <c r="G68"/>
  <c r="H68"/>
  <c r="I68"/>
  <c r="C68"/>
  <c r="I167"/>
  <c r="H167"/>
  <c r="G167"/>
  <c r="F167"/>
  <c r="E167"/>
  <c r="D167"/>
  <c r="C167"/>
  <c r="I153"/>
  <c r="H153"/>
  <c r="G153"/>
  <c r="F153"/>
  <c r="E153"/>
  <c r="D153"/>
  <c r="C153"/>
  <c r="E126"/>
  <c r="D126"/>
  <c r="C126"/>
  <c r="I120"/>
  <c r="H120"/>
  <c r="G120"/>
  <c r="I109"/>
  <c r="H109"/>
  <c r="G109"/>
  <c r="F109"/>
  <c r="E109"/>
  <c r="D109"/>
  <c r="C109"/>
  <c r="B67"/>
  <c r="I66"/>
  <c r="H66"/>
  <c r="G66"/>
  <c r="F66"/>
  <c r="E66"/>
  <c r="D66"/>
  <c r="C66"/>
  <c r="I65"/>
  <c r="H65"/>
  <c r="G65"/>
  <c r="F65"/>
  <c r="E65"/>
  <c r="D65"/>
  <c r="C65"/>
  <c r="I64"/>
  <c r="H64"/>
  <c r="G64"/>
  <c r="F64"/>
  <c r="E64"/>
  <c r="D64"/>
  <c r="C64"/>
  <c r="D62"/>
  <c r="C62"/>
  <c r="F61"/>
  <c r="E61"/>
  <c r="D61"/>
  <c r="C61"/>
  <c r="D60"/>
  <c r="C60"/>
  <c r="I58"/>
  <c r="H58"/>
  <c r="G58"/>
  <c r="F58"/>
  <c r="E58"/>
  <c r="D58"/>
  <c r="C58"/>
  <c r="I57"/>
  <c r="H57"/>
  <c r="G57"/>
  <c r="F57"/>
  <c r="E57"/>
  <c r="D57"/>
  <c r="C57"/>
  <c r="E53"/>
  <c r="D53"/>
  <c r="C53"/>
  <c r="I49"/>
  <c r="H49"/>
  <c r="G49"/>
  <c r="F49"/>
  <c r="E49"/>
  <c r="D49"/>
  <c r="C49"/>
  <c r="A25"/>
  <c r="I17"/>
  <c r="H17"/>
  <c r="G17"/>
  <c r="F17"/>
  <c r="E17"/>
  <c r="I16"/>
  <c r="H16"/>
  <c r="G16"/>
  <c r="F16"/>
  <c r="E16"/>
  <c r="I7"/>
  <c r="H7"/>
  <c r="G7"/>
  <c r="F7"/>
  <c r="E7"/>
  <c r="D7"/>
  <c r="C7"/>
  <c r="E6"/>
  <c r="D6"/>
  <c r="C6"/>
  <c r="B3"/>
  <c r="I1"/>
  <c r="D343" i="11"/>
  <c r="D342"/>
  <c r="D338"/>
  <c r="D337"/>
  <c r="D333"/>
  <c r="D332"/>
  <c r="D328"/>
  <c r="D327"/>
  <c r="D323"/>
  <c r="D322"/>
  <c r="D318"/>
  <c r="D317"/>
  <c r="D313"/>
  <c r="D312"/>
  <c r="G300"/>
  <c r="E300"/>
  <c r="D300"/>
  <c r="C300"/>
  <c r="I15" i="13"/>
  <c r="H15"/>
  <c r="G15"/>
  <c r="F15"/>
  <c r="E15"/>
  <c r="D15"/>
  <c r="I6"/>
  <c r="H6"/>
  <c r="G6"/>
  <c r="F6"/>
  <c r="E6"/>
  <c r="D6"/>
  <c r="C6"/>
  <c r="E5"/>
  <c r="D5"/>
  <c r="C5"/>
  <c r="B3"/>
  <c r="I1"/>
  <c r="F156" i="15" l="1"/>
  <c r="F157" s="1"/>
  <c r="F158" s="1"/>
  <c r="G146"/>
  <c r="F185"/>
  <c r="D219"/>
  <c r="D221" s="1"/>
  <c r="D176"/>
  <c r="D177" s="1"/>
  <c r="D141" i="11" s="1"/>
  <c r="H126" i="15"/>
  <c r="H127" s="1"/>
  <c r="D126"/>
  <c r="D127" s="1"/>
  <c r="H168"/>
  <c r="H64" i="11" s="1"/>
  <c r="I156" i="15"/>
  <c r="I157" s="1"/>
  <c r="I158" s="1"/>
  <c r="I145"/>
  <c r="F146"/>
  <c r="E185"/>
  <c r="D168"/>
  <c r="D64" i="11" s="1"/>
  <c r="F181" i="15"/>
  <c r="F183" s="1"/>
  <c r="F145"/>
  <c r="D146"/>
  <c r="H146"/>
  <c r="F9"/>
  <c r="F10" s="1"/>
  <c r="G126"/>
  <c r="G127" s="1"/>
  <c r="C181"/>
  <c r="C183" s="1"/>
  <c r="I131"/>
  <c r="I144" s="1"/>
  <c r="E131"/>
  <c r="E144" s="1"/>
  <c r="G168"/>
  <c r="G64" i="11" s="1"/>
  <c r="G145" i="15"/>
  <c r="C185"/>
  <c r="G156"/>
  <c r="G157" s="1"/>
  <c r="G158" s="1"/>
  <c r="B57" i="14"/>
  <c r="A57" s="1"/>
  <c r="C126" i="15"/>
  <c r="C127" s="1"/>
  <c r="B58" i="14"/>
  <c r="A58" s="1"/>
  <c r="B64"/>
  <c r="A64" s="1"/>
  <c r="F126" i="15"/>
  <c r="F127" s="1"/>
  <c r="B49" i="14"/>
  <c r="A49" s="1"/>
  <c r="B66"/>
  <c r="A66" s="1"/>
  <c r="B109"/>
  <c r="A109" s="1"/>
  <c r="C113" i="15"/>
  <c r="B65" i="14"/>
  <c r="A65" s="1"/>
  <c r="H156" i="15"/>
  <c r="H157" s="1"/>
  <c r="H158" s="1"/>
  <c r="H63" i="11"/>
  <c r="D156" i="15"/>
  <c r="D157" s="1"/>
  <c r="D158" s="1"/>
  <c r="D63" i="11"/>
  <c r="D319"/>
  <c r="C301" s="1"/>
  <c r="D38" i="13" s="1"/>
  <c r="D39" s="1"/>
  <c r="D329" i="11"/>
  <c r="E301" s="1"/>
  <c r="F38" i="13" s="1"/>
  <c r="F39" s="1"/>
  <c r="D185" i="15"/>
  <c r="D66" i="11"/>
  <c r="B61" i="14"/>
  <c r="A61" s="1"/>
  <c r="E156" i="15"/>
  <c r="E145"/>
  <c r="C156"/>
  <c r="C63" i="11"/>
  <c r="D339"/>
  <c r="G301" s="1"/>
  <c r="H38" i="13" s="1"/>
  <c r="H39" s="1"/>
  <c r="F135" i="15"/>
  <c r="F24" i="13"/>
  <c r="G135" i="15"/>
  <c r="G24" i="13"/>
  <c r="D135" i="15"/>
  <c r="D24" i="13"/>
  <c r="H135" i="15"/>
  <c r="H24" i="13"/>
  <c r="E135" i="15"/>
  <c r="E24" i="13"/>
  <c r="I135" i="15"/>
  <c r="I24" i="13"/>
  <c r="D344" i="11"/>
  <c r="H301" s="1"/>
  <c r="I38" i="13" s="1"/>
  <c r="I39" s="1"/>
  <c r="D334" i="11"/>
  <c r="F301" s="1"/>
  <c r="G38" i="13" s="1"/>
  <c r="G39" s="1"/>
  <c r="D324" i="11"/>
  <c r="D301" s="1"/>
  <c r="D314"/>
  <c r="B301" s="1"/>
  <c r="C38" i="13" s="1"/>
  <c r="C39" s="1"/>
  <c r="I58" i="11"/>
  <c r="E58"/>
  <c r="G58"/>
  <c r="F58"/>
  <c r="H58"/>
  <c r="D58"/>
  <c r="F131" i="15"/>
  <c r="F144" s="1"/>
  <c r="D198"/>
  <c r="C198"/>
  <c r="E181"/>
  <c r="E183" s="1"/>
  <c r="D181"/>
  <c r="D183" s="1"/>
  <c r="F168"/>
  <c r="F64" i="11" s="1"/>
  <c r="H300"/>
  <c r="E219" i="15"/>
  <c r="E221" s="1"/>
  <c r="C176"/>
  <c r="C177" s="1"/>
  <c r="C141" i="11" s="1"/>
  <c r="E168" i="15"/>
  <c r="E64" i="11" s="1"/>
  <c r="I168" i="15"/>
  <c r="I64" i="11" s="1"/>
  <c r="C168" i="15"/>
  <c r="C64" i="11" s="1"/>
  <c r="C145" i="15"/>
  <c r="E153"/>
  <c r="E154" s="1"/>
  <c r="E155" s="1"/>
  <c r="I153"/>
  <c r="I154" s="1"/>
  <c r="I155" s="1"/>
  <c r="C153"/>
  <c r="C154" s="1"/>
  <c r="C155" s="1"/>
  <c r="I126"/>
  <c r="I127" s="1"/>
  <c r="E126"/>
  <c r="E127" s="1"/>
  <c r="I9"/>
  <c r="I10" s="1"/>
  <c r="E10"/>
  <c r="G131"/>
  <c r="D131"/>
  <c r="H131"/>
  <c r="C58" i="11"/>
  <c r="B68" i="14"/>
  <c r="A68" s="1"/>
  <c r="B60"/>
  <c r="A60" s="1"/>
  <c r="B300" i="11"/>
  <c r="F300"/>
  <c r="G303" l="1"/>
  <c r="H56" s="1"/>
  <c r="E303"/>
  <c r="F56" s="1"/>
  <c r="C303"/>
  <c r="D56" s="1"/>
  <c r="E140" i="15"/>
  <c r="E54" i="11" s="1"/>
  <c r="I147" i="15"/>
  <c r="F147"/>
  <c r="I140"/>
  <c r="A48" i="14"/>
  <c r="F140" i="15"/>
  <c r="E147"/>
  <c r="F303" i="11"/>
  <c r="G56" s="1"/>
  <c r="D303"/>
  <c r="E56" s="1"/>
  <c r="E38" i="13"/>
  <c r="E39" s="1"/>
  <c r="H303" i="11"/>
  <c r="I56" s="1"/>
  <c r="B303"/>
  <c r="C56" s="1"/>
  <c r="H144" i="15"/>
  <c r="H147" s="1"/>
  <c r="H140"/>
  <c r="G144"/>
  <c r="G147" s="1"/>
  <c r="G140"/>
  <c r="D144"/>
  <c r="D147" s="1"/>
  <c r="D140"/>
  <c r="A22" i="12"/>
  <c r="I54" i="11" l="1"/>
  <c r="F54"/>
  <c r="G54"/>
  <c r="D54"/>
  <c r="H54"/>
  <c r="B56"/>
  <c r="A56" s="1"/>
  <c r="D222" i="8"/>
  <c r="E222"/>
  <c r="C222"/>
  <c r="D218"/>
  <c r="D220" s="1"/>
  <c r="E218"/>
  <c r="F218"/>
  <c r="F220" s="1"/>
  <c r="F221" s="1"/>
  <c r="F156" i="7" s="1"/>
  <c r="G218" i="8"/>
  <c r="G219" s="1"/>
  <c r="H218"/>
  <c r="H219" s="1"/>
  <c r="I218"/>
  <c r="I219" s="1"/>
  <c r="C218"/>
  <c r="D217"/>
  <c r="D153" i="7" s="1"/>
  <c r="E217" i="8"/>
  <c r="E153" i="7" s="1"/>
  <c r="F217" i="8"/>
  <c r="F153" i="7" s="1"/>
  <c r="G217" i="8"/>
  <c r="G153" i="7" s="1"/>
  <c r="H217" i="8"/>
  <c r="H153" i="7" s="1"/>
  <c r="I217" i="8"/>
  <c r="I153" i="7" s="1"/>
  <c r="C217" i="8"/>
  <c r="D203"/>
  <c r="E203"/>
  <c r="F203"/>
  <c r="G203"/>
  <c r="H203"/>
  <c r="I203"/>
  <c r="C203"/>
  <c r="D129"/>
  <c r="E129"/>
  <c r="F129"/>
  <c r="G129"/>
  <c r="H129"/>
  <c r="I129"/>
  <c r="C129"/>
  <c r="B255" i="11" l="1"/>
  <c r="F219" i="8"/>
  <c r="H220"/>
  <c r="H221" s="1"/>
  <c r="H156" i="7" s="1"/>
  <c r="D219" i="8"/>
  <c r="D221" s="1"/>
  <c r="D156" i="7" s="1"/>
  <c r="G220" i="8"/>
  <c r="G221" s="1"/>
  <c r="G156" i="7" s="1"/>
  <c r="I220" i="8"/>
  <c r="I221" s="1"/>
  <c r="I156" i="7" s="1"/>
  <c r="B30" i="12"/>
  <c r="E7" l="1"/>
  <c r="D7"/>
  <c r="C7"/>
  <c r="B3"/>
  <c r="D153" i="1" l="1"/>
  <c r="E153"/>
  <c r="F153"/>
  <c r="G153"/>
  <c r="H153"/>
  <c r="I153"/>
  <c r="I186" i="11"/>
  <c r="H186"/>
  <c r="G186"/>
  <c r="F186"/>
  <c r="E186"/>
  <c r="D186"/>
  <c r="C186"/>
  <c r="B63" l="1"/>
  <c r="A63" s="1"/>
  <c r="B70"/>
  <c r="A70" s="1"/>
  <c r="B71"/>
  <c r="A71" s="1"/>
  <c r="B75"/>
  <c r="A75" s="1"/>
  <c r="B66"/>
  <c r="A66" s="1"/>
  <c r="B62"/>
  <c r="A62" s="1"/>
  <c r="B186"/>
  <c r="B49"/>
  <c r="A49" s="1"/>
  <c r="B69"/>
  <c r="A69" s="1"/>
  <c r="B65"/>
  <c r="A65" s="1"/>
  <c r="A48" l="1"/>
  <c r="F225" i="6" l="1"/>
  <c r="F155" i="21" s="1"/>
  <c r="G225" i="6"/>
  <c r="G155" i="21" s="1"/>
  <c r="H225" i="6"/>
  <c r="H155" i="21" s="1"/>
  <c r="I225" i="6"/>
  <c r="I155" i="21" s="1"/>
  <c r="D225" i="6"/>
  <c r="D155" i="21" s="1"/>
  <c r="H156" i="16" l="1"/>
  <c r="H156" i="19"/>
  <c r="I156" i="16"/>
  <c r="I156" i="19"/>
  <c r="G156" i="16"/>
  <c r="G156" i="19"/>
  <c r="F156" i="16"/>
  <c r="F156" i="19"/>
  <c r="D156" i="16"/>
  <c r="D156" i="19"/>
  <c r="H156" i="1"/>
  <c r="H156" i="14"/>
  <c r="I156" i="1"/>
  <c r="I156" i="14"/>
  <c r="G156" i="1"/>
  <c r="G156" i="14"/>
  <c r="D156" i="1"/>
  <c r="D156" i="14"/>
  <c r="F156" i="1"/>
  <c r="F156" i="14"/>
  <c r="D196" i="8"/>
  <c r="D171" i="6"/>
  <c r="E171"/>
  <c r="F171"/>
  <c r="G171"/>
  <c r="H171"/>
  <c r="I171"/>
  <c r="G120" i="7" l="1"/>
  <c r="H120"/>
  <c r="I120"/>
  <c r="D184" i="8"/>
  <c r="E184"/>
  <c r="F184"/>
  <c r="C184"/>
  <c r="D182"/>
  <c r="E182"/>
  <c r="F182"/>
  <c r="C182"/>
  <c r="D180"/>
  <c r="E180"/>
  <c r="F180"/>
  <c r="C180"/>
  <c r="D179"/>
  <c r="E179"/>
  <c r="E181" s="1"/>
  <c r="E183" s="1"/>
  <c r="F179"/>
  <c r="C179"/>
  <c r="D178"/>
  <c r="D185" s="1"/>
  <c r="E178"/>
  <c r="E185" s="1"/>
  <c r="F178"/>
  <c r="F185" s="1"/>
  <c r="C178"/>
  <c r="A178"/>
  <c r="C185" l="1"/>
  <c r="D181"/>
  <c r="D183" s="1"/>
  <c r="F181"/>
  <c r="F183" s="1"/>
  <c r="C181"/>
  <c r="C183" s="1"/>
  <c r="G120" i="1"/>
  <c r="H120"/>
  <c r="I120"/>
  <c r="D187" i="6" l="1"/>
  <c r="E187"/>
  <c r="F187"/>
  <c r="C187"/>
  <c r="D183"/>
  <c r="D185" s="1"/>
  <c r="E183"/>
  <c r="E185" s="1"/>
  <c r="F183"/>
  <c r="F185" s="1"/>
  <c r="C183"/>
  <c r="C185" s="1"/>
  <c r="C171" l="1"/>
  <c r="I109" i="1"/>
  <c r="D109"/>
  <c r="E109"/>
  <c r="F109"/>
  <c r="G109"/>
  <c r="H109"/>
  <c r="C109"/>
  <c r="D206" i="8" l="1"/>
  <c r="E206"/>
  <c r="E208" s="1"/>
  <c r="E209" s="1"/>
  <c r="F206"/>
  <c r="F208" s="1"/>
  <c r="F209" s="1"/>
  <c r="D147" i="6" l="1"/>
  <c r="E147"/>
  <c r="F147"/>
  <c r="G147"/>
  <c r="H147"/>
  <c r="I147"/>
  <c r="D146"/>
  <c r="E146"/>
  <c r="F146"/>
  <c r="G146"/>
  <c r="H146"/>
  <c r="I146"/>
  <c r="C147"/>
  <c r="C146"/>
  <c r="E176" i="8" l="1"/>
  <c r="F176"/>
  <c r="G176"/>
  <c r="H176"/>
  <c r="I176"/>
  <c r="E178" i="6" l="1"/>
  <c r="F178"/>
  <c r="G178"/>
  <c r="H178"/>
  <c r="I178"/>
  <c r="F35" i="8" l="1"/>
  <c r="G35"/>
  <c r="H35"/>
  <c r="I35"/>
  <c r="C10" i="16" l="1"/>
  <c r="C10" i="14"/>
  <c r="C35" i="15"/>
  <c r="C10" i="11" s="1"/>
  <c r="C9" i="13"/>
  <c r="C34" i="15"/>
  <c r="D35" i="6"/>
  <c r="D35" i="15" s="1"/>
  <c r="D34" i="6"/>
  <c r="E22" i="22" s="1"/>
  <c r="D10" i="17" l="1"/>
  <c r="AH10" i="1" s="1"/>
  <c r="D34" i="15"/>
  <c r="C172" i="11"/>
  <c r="C17"/>
  <c r="C175"/>
  <c r="C150" i="14"/>
  <c r="C17"/>
  <c r="C159"/>
  <c r="C15" i="11"/>
  <c r="C150" i="16"/>
  <c r="C159"/>
  <c r="C17"/>
  <c r="D34" i="8"/>
  <c r="C34"/>
  <c r="D135" i="11" l="1"/>
  <c r="D15"/>
  <c r="D150" i="15"/>
  <c r="I117" i="8"/>
  <c r="D117"/>
  <c r="E117"/>
  <c r="F117"/>
  <c r="G117"/>
  <c r="H117"/>
  <c r="C117"/>
  <c r="A117"/>
  <c r="A191"/>
  <c r="I123" l="1"/>
  <c r="D123"/>
  <c r="E123"/>
  <c r="F123"/>
  <c r="G123"/>
  <c r="H123"/>
  <c r="C123"/>
  <c r="I1" i="1" l="1"/>
  <c r="A287" i="6" l="1"/>
  <c r="A288" s="1"/>
  <c r="A289" s="1"/>
  <c r="A290" s="1"/>
  <c r="A291" s="1"/>
  <c r="A292" s="1"/>
  <c r="A293" s="1"/>
  <c r="A294" s="1"/>
  <c r="A295" s="1"/>
  <c r="A296" s="1"/>
  <c r="A297" s="1"/>
  <c r="A298" s="1"/>
  <c r="C194" i="8"/>
  <c r="C64" i="7" s="1"/>
  <c r="A194" i="8"/>
  <c r="C64" i="1"/>
  <c r="C65"/>
  <c r="C195" i="8"/>
  <c r="C7"/>
  <c r="C128"/>
  <c r="D7"/>
  <c r="C6"/>
  <c r="C7" i="7" s="1"/>
  <c r="D8" i="8"/>
  <c r="D9" s="1"/>
  <c r="D10" s="1"/>
  <c r="I8"/>
  <c r="H8"/>
  <c r="G8"/>
  <c r="F8"/>
  <c r="F9" s="1"/>
  <c r="F10" s="1"/>
  <c r="E8"/>
  <c r="E9" s="1"/>
  <c r="E10" s="1"/>
  <c r="C8"/>
  <c r="C9" s="1"/>
  <c r="C10" s="1"/>
  <c r="E130"/>
  <c r="F130"/>
  <c r="G130"/>
  <c r="H130"/>
  <c r="I130"/>
  <c r="D130"/>
  <c r="D92" i="6"/>
  <c r="E9"/>
  <c r="E10" s="1"/>
  <c r="C92"/>
  <c r="C113"/>
  <c r="E130"/>
  <c r="E131" s="1"/>
  <c r="F130"/>
  <c r="F131" s="1"/>
  <c r="F145" s="1"/>
  <c r="F148" s="1"/>
  <c r="G130"/>
  <c r="G131" s="1"/>
  <c r="G145" s="1"/>
  <c r="G148" s="1"/>
  <c r="H130"/>
  <c r="H131" s="1"/>
  <c r="I130"/>
  <c r="I131" s="1"/>
  <c r="I145" s="1"/>
  <c r="I148" s="1"/>
  <c r="C168"/>
  <c r="C170" s="1"/>
  <c r="D130"/>
  <c r="D168"/>
  <c r="D170" s="1"/>
  <c r="B102" i="8"/>
  <c r="C46"/>
  <c r="F9" i="6"/>
  <c r="F10" s="1"/>
  <c r="G9"/>
  <c r="G10" s="1"/>
  <c r="H9"/>
  <c r="H10" s="1"/>
  <c r="I9"/>
  <c r="I10" s="1"/>
  <c r="B104" i="8"/>
  <c r="B105"/>
  <c r="B106"/>
  <c r="B115"/>
  <c r="B107"/>
  <c r="D26" i="9"/>
  <c r="E26"/>
  <c r="F26"/>
  <c r="G26"/>
  <c r="H26"/>
  <c r="I26"/>
  <c r="C26"/>
  <c r="D15"/>
  <c r="E15"/>
  <c r="F15"/>
  <c r="G15"/>
  <c r="H15"/>
  <c r="I15"/>
  <c r="C15"/>
  <c r="B2"/>
  <c r="D188" i="7"/>
  <c r="E188"/>
  <c r="F188"/>
  <c r="G188"/>
  <c r="H188"/>
  <c r="I188"/>
  <c r="C188"/>
  <c r="D168"/>
  <c r="E168"/>
  <c r="F168"/>
  <c r="G168"/>
  <c r="H168"/>
  <c r="I168"/>
  <c r="C168"/>
  <c r="D4" i="9"/>
  <c r="E4"/>
  <c r="F4"/>
  <c r="G4"/>
  <c r="H4"/>
  <c r="I4"/>
  <c r="D35" i="8"/>
  <c r="C35"/>
  <c r="C10" i="7" s="1"/>
  <c r="C139" i="8"/>
  <c r="C57" i="7" s="1"/>
  <c r="C138" i="8"/>
  <c r="C164"/>
  <c r="C165"/>
  <c r="C167" s="1"/>
  <c r="C172"/>
  <c r="C60" i="7" s="1"/>
  <c r="C61"/>
  <c r="C190" i="8"/>
  <c r="C62" i="7" s="1"/>
  <c r="C191" i="8"/>
  <c r="C193" s="1"/>
  <c r="C196"/>
  <c r="C197"/>
  <c r="C68" i="7" s="1"/>
  <c r="C136" i="8"/>
  <c r="C143"/>
  <c r="C202"/>
  <c r="C215"/>
  <c r="C109" i="7" s="1"/>
  <c r="C173" i="8"/>
  <c r="C175" s="1"/>
  <c r="C174"/>
  <c r="E37"/>
  <c r="E38" s="1"/>
  <c r="E39" s="1"/>
  <c r="E91"/>
  <c r="E93"/>
  <c r="E16" i="7" s="1"/>
  <c r="E94" i="8"/>
  <c r="E17" i="7" s="1"/>
  <c r="B95" i="8"/>
  <c r="E99"/>
  <c r="B5"/>
  <c r="B109"/>
  <c r="E49" i="7"/>
  <c r="E139" i="8"/>
  <c r="E57" i="7" s="1"/>
  <c r="E138" i="8"/>
  <c r="E164"/>
  <c r="E165"/>
  <c r="E167" s="1"/>
  <c r="E61" i="7"/>
  <c r="E191" i="8"/>
  <c r="E194"/>
  <c r="E64" i="7" s="1"/>
  <c r="E65"/>
  <c r="E196" i="8"/>
  <c r="E66" i="7" s="1"/>
  <c r="E197" i="8"/>
  <c r="E68" i="7" s="1"/>
  <c r="E128" i="8"/>
  <c r="E136"/>
  <c r="E146" s="1"/>
  <c r="E143"/>
  <c r="E202"/>
  <c r="E215"/>
  <c r="E109" i="7" s="1"/>
  <c r="F91" i="8"/>
  <c r="F93"/>
  <c r="F16" i="7" s="1"/>
  <c r="F94" i="8"/>
  <c r="F17" i="7" s="1"/>
  <c r="F99" i="8"/>
  <c r="F49" i="7"/>
  <c r="F139" i="8"/>
  <c r="F57" i="7" s="1"/>
  <c r="F138" i="8"/>
  <c r="F164"/>
  <c r="F165"/>
  <c r="F167" s="1"/>
  <c r="F61" i="7"/>
  <c r="F191" i="8"/>
  <c r="F194"/>
  <c r="F64" i="7" s="1"/>
  <c r="F65"/>
  <c r="F196" i="8"/>
  <c r="F66" i="7" s="1"/>
  <c r="F197" i="8"/>
  <c r="F68" i="7" s="1"/>
  <c r="F128" i="8"/>
  <c r="F136"/>
  <c r="F146" s="1"/>
  <c r="F143"/>
  <c r="F202"/>
  <c r="F215"/>
  <c r="F109" i="7" s="1"/>
  <c r="G91" i="8"/>
  <c r="G93"/>
  <c r="G16" i="7" s="1"/>
  <c r="G94" i="8"/>
  <c r="G17" i="7" s="1"/>
  <c r="G99" i="8"/>
  <c r="G49" i="7"/>
  <c r="G139" i="8"/>
  <c r="G57" i="7" s="1"/>
  <c r="G138" i="8"/>
  <c r="G164"/>
  <c r="G169" s="1"/>
  <c r="G165"/>
  <c r="G167" s="1"/>
  <c r="G191"/>
  <c r="G194"/>
  <c r="G64" i="7" s="1"/>
  <c r="G65"/>
  <c r="G196" i="8"/>
  <c r="G66" i="7" s="1"/>
  <c r="G197" i="8"/>
  <c r="G68" i="7" s="1"/>
  <c r="G128" i="8"/>
  <c r="G136"/>
  <c r="G143"/>
  <c r="G202"/>
  <c r="G215"/>
  <c r="G109" i="7" s="1"/>
  <c r="H91" i="8"/>
  <c r="H93"/>
  <c r="H16" i="7" s="1"/>
  <c r="H94" i="8"/>
  <c r="H17" i="7" s="1"/>
  <c r="H99" i="8"/>
  <c r="H49" i="7"/>
  <c r="H139" i="8"/>
  <c r="H57" i="7" s="1"/>
  <c r="H138" i="8"/>
  <c r="H156" s="1"/>
  <c r="H157" s="1"/>
  <c r="H158" s="1"/>
  <c r="H164"/>
  <c r="H169" s="1"/>
  <c r="H165"/>
  <c r="H167" s="1"/>
  <c r="H191"/>
  <c r="H194"/>
  <c r="H64" i="7" s="1"/>
  <c r="H65"/>
  <c r="H196" i="8"/>
  <c r="H66" i="7" s="1"/>
  <c r="H197" i="8"/>
  <c r="H68" i="7" s="1"/>
  <c r="H128" i="8"/>
  <c r="H136"/>
  <c r="H143"/>
  <c r="H202"/>
  <c r="H215"/>
  <c r="H109" i="7" s="1"/>
  <c r="I91" i="8"/>
  <c r="I93"/>
  <c r="I16" i="7" s="1"/>
  <c r="I94" i="8"/>
  <c r="I17" i="7" s="1"/>
  <c r="I99" i="8"/>
  <c r="I49" i="7"/>
  <c r="I139" i="8"/>
  <c r="I57" i="7" s="1"/>
  <c r="I138" i="8"/>
  <c r="I164"/>
  <c r="I169" s="1"/>
  <c r="I165"/>
  <c r="I167" s="1"/>
  <c r="I191"/>
  <c r="I194"/>
  <c r="I64" i="7" s="1"/>
  <c r="I65"/>
  <c r="I196" i="8"/>
  <c r="I66" i="7" s="1"/>
  <c r="I197" i="8"/>
  <c r="I68" i="7" s="1"/>
  <c r="I128" i="8"/>
  <c r="I136"/>
  <c r="I146" s="1"/>
  <c r="I143"/>
  <c r="I202"/>
  <c r="I215"/>
  <c r="I109" i="7" s="1"/>
  <c r="E4" i="8"/>
  <c r="E126" i="7" s="1"/>
  <c r="D4" i="8"/>
  <c r="D126" i="7" s="1"/>
  <c r="C4" i="8"/>
  <c r="C126" i="7" s="1"/>
  <c r="D173" i="8"/>
  <c r="D175" s="1"/>
  <c r="D174"/>
  <c r="D139"/>
  <c r="D57" i="7" s="1"/>
  <c r="D138" i="8"/>
  <c r="D164"/>
  <c r="D169" s="1"/>
  <c r="D165"/>
  <c r="D167" s="1"/>
  <c r="D172"/>
  <c r="D60" i="7" s="1"/>
  <c r="D61"/>
  <c r="D190" i="8"/>
  <c r="D62" i="7" s="1"/>
  <c r="D191" i="8"/>
  <c r="D193" s="1"/>
  <c r="D63" i="7" s="1"/>
  <c r="D194" i="8"/>
  <c r="D64" i="7" s="1"/>
  <c r="D195" i="8"/>
  <c r="D65" i="7" s="1"/>
  <c r="D66"/>
  <c r="D197" i="8"/>
  <c r="D68" i="7" s="1"/>
  <c r="D128" i="8"/>
  <c r="D136"/>
  <c r="D143"/>
  <c r="D202"/>
  <c r="D215"/>
  <c r="D109" i="7" s="1"/>
  <c r="I122" i="8"/>
  <c r="I125"/>
  <c r="I142"/>
  <c r="H122"/>
  <c r="H125"/>
  <c r="H142"/>
  <c r="G122"/>
  <c r="G125"/>
  <c r="G142"/>
  <c r="F122"/>
  <c r="F125"/>
  <c r="F142"/>
  <c r="E122"/>
  <c r="E125"/>
  <c r="E142"/>
  <c r="D122"/>
  <c r="D125"/>
  <c r="D142"/>
  <c r="C122"/>
  <c r="C125"/>
  <c r="C142"/>
  <c r="D49" i="7"/>
  <c r="C49"/>
  <c r="A25"/>
  <c r="D99" i="8"/>
  <c r="C99"/>
  <c r="D94"/>
  <c r="C94"/>
  <c r="D91"/>
  <c r="D92" s="1"/>
  <c r="D15" i="7" s="1"/>
  <c r="C91" i="8"/>
  <c r="C92" s="1"/>
  <c r="C15" i="7" s="1"/>
  <c r="D37" i="8"/>
  <c r="D38" s="1"/>
  <c r="D39" s="1"/>
  <c r="C37"/>
  <c r="C38" s="1"/>
  <c r="C39" s="1"/>
  <c r="E35"/>
  <c r="I6"/>
  <c r="I7" i="7" s="1"/>
  <c r="H6" i="8"/>
  <c r="H7" i="7" s="1"/>
  <c r="G6" i="8"/>
  <c r="G7" i="7" s="1"/>
  <c r="F6" i="8"/>
  <c r="F7" i="7" s="1"/>
  <c r="E6" i="8"/>
  <c r="E7" i="7" s="1"/>
  <c r="D6" i="8"/>
  <c r="D7" i="7" s="1"/>
  <c r="B2" i="8"/>
  <c r="B3" i="7" s="1"/>
  <c r="B67"/>
  <c r="D216" i="8"/>
  <c r="C216"/>
  <c r="C124"/>
  <c r="E124"/>
  <c r="I124"/>
  <c r="H124"/>
  <c r="G124"/>
  <c r="F124"/>
  <c r="D124"/>
  <c r="I200"/>
  <c r="H200"/>
  <c r="G200"/>
  <c r="F200"/>
  <c r="A102"/>
  <c r="A215"/>
  <c r="A197"/>
  <c r="A196"/>
  <c r="D166"/>
  <c r="E166"/>
  <c r="F166"/>
  <c r="G166"/>
  <c r="H166"/>
  <c r="I166"/>
  <c r="C166"/>
  <c r="A142"/>
  <c r="A139"/>
  <c r="A115"/>
  <c r="A109"/>
  <c r="A107"/>
  <c r="A106"/>
  <c r="A105"/>
  <c r="A104"/>
  <c r="I16" i="1"/>
  <c r="I17"/>
  <c r="I49"/>
  <c r="I57"/>
  <c r="I58"/>
  <c r="I64"/>
  <c r="I65"/>
  <c r="I66"/>
  <c r="I68"/>
  <c r="C10"/>
  <c r="C49"/>
  <c r="E16"/>
  <c r="E17"/>
  <c r="E57"/>
  <c r="E58"/>
  <c r="E61"/>
  <c r="E64"/>
  <c r="E65"/>
  <c r="E66"/>
  <c r="E68"/>
  <c r="F16"/>
  <c r="F17"/>
  <c r="F49"/>
  <c r="F57"/>
  <c r="F58"/>
  <c r="F61"/>
  <c r="F64"/>
  <c r="F65"/>
  <c r="F66"/>
  <c r="F68"/>
  <c r="G16"/>
  <c r="G17"/>
  <c r="G49"/>
  <c r="G57"/>
  <c r="G58"/>
  <c r="G64"/>
  <c r="G65"/>
  <c r="G66"/>
  <c r="G68"/>
  <c r="H16"/>
  <c r="H17"/>
  <c r="H49"/>
  <c r="H57"/>
  <c r="H58"/>
  <c r="H64"/>
  <c r="H65"/>
  <c r="H66"/>
  <c r="H68"/>
  <c r="C57"/>
  <c r="C58"/>
  <c r="C60"/>
  <c r="C61"/>
  <c r="C62"/>
  <c r="C66"/>
  <c r="C68"/>
  <c r="D57"/>
  <c r="D58"/>
  <c r="D60"/>
  <c r="D61"/>
  <c r="D62"/>
  <c r="D64"/>
  <c r="D65"/>
  <c r="D66"/>
  <c r="D68"/>
  <c r="I79" i="8"/>
  <c r="D9" i="6"/>
  <c r="D10" s="1"/>
  <c r="I56" i="21"/>
  <c r="D56"/>
  <c r="E56"/>
  <c r="F56"/>
  <c r="G56"/>
  <c r="H56"/>
  <c r="C137" i="6"/>
  <c r="C56" i="21" s="1"/>
  <c r="C157" i="6"/>
  <c r="C38"/>
  <c r="C39" s="1"/>
  <c r="C126"/>
  <c r="C127" s="1"/>
  <c r="C177"/>
  <c r="C178" s="1"/>
  <c r="C179" s="1"/>
  <c r="C118" i="21" s="1"/>
  <c r="D177" i="6"/>
  <c r="D178" s="1"/>
  <c r="D179" s="1"/>
  <c r="D118" i="21" s="1"/>
  <c r="C154" i="6"/>
  <c r="D157"/>
  <c r="D154"/>
  <c r="E157"/>
  <c r="E154"/>
  <c r="E155" s="1"/>
  <c r="E156" s="1"/>
  <c r="F157"/>
  <c r="F158" s="1"/>
  <c r="F159" s="1"/>
  <c r="F154"/>
  <c r="G157"/>
  <c r="G158" s="1"/>
  <c r="G159" s="1"/>
  <c r="G154"/>
  <c r="G155" s="1"/>
  <c r="G156" s="1"/>
  <c r="H157"/>
  <c r="H158" s="1"/>
  <c r="H159" s="1"/>
  <c r="H154"/>
  <c r="H155" s="1"/>
  <c r="H156" s="1"/>
  <c r="I157"/>
  <c r="I158" s="1"/>
  <c r="I159" s="1"/>
  <c r="I154"/>
  <c r="I155" s="1"/>
  <c r="I156" s="1"/>
  <c r="C195"/>
  <c r="D195"/>
  <c r="E126"/>
  <c r="E127" s="1"/>
  <c r="F126"/>
  <c r="F127" s="1"/>
  <c r="G126"/>
  <c r="G127" s="1"/>
  <c r="H126"/>
  <c r="H127" s="1"/>
  <c r="I126"/>
  <c r="I127" s="1"/>
  <c r="I79"/>
  <c r="D126"/>
  <c r="D127" s="1"/>
  <c r="D124"/>
  <c r="E124"/>
  <c r="F124"/>
  <c r="G124"/>
  <c r="H124"/>
  <c r="I124"/>
  <c r="C124"/>
  <c r="D38"/>
  <c r="D39" s="1"/>
  <c r="E38"/>
  <c r="E39" s="1"/>
  <c r="D202"/>
  <c r="E202"/>
  <c r="F202"/>
  <c r="G202"/>
  <c r="H202"/>
  <c r="I202"/>
  <c r="C202"/>
  <c r="C9"/>
  <c r="C10" s="1"/>
  <c r="B67" i="1"/>
  <c r="D7"/>
  <c r="E7"/>
  <c r="F7"/>
  <c r="G7"/>
  <c r="H7"/>
  <c r="I7"/>
  <c r="C7"/>
  <c r="D120" i="6"/>
  <c r="E120"/>
  <c r="C120"/>
  <c r="A25" i="1"/>
  <c r="B3"/>
  <c r="G56"/>
  <c r="D120" i="8" l="1"/>
  <c r="F131"/>
  <c r="F144" s="1"/>
  <c r="F140" i="6"/>
  <c r="E131" i="8"/>
  <c r="E144" s="1"/>
  <c r="H131"/>
  <c r="H144" s="1"/>
  <c r="B118" i="21"/>
  <c r="A118" s="1"/>
  <c r="D33" i="20"/>
  <c r="D63" i="21"/>
  <c r="D68" s="1"/>
  <c r="C56" i="1"/>
  <c r="C33" i="20"/>
  <c r="C63" i="21"/>
  <c r="C68" s="1"/>
  <c r="B56"/>
  <c r="A56" s="1"/>
  <c r="C120" i="8"/>
  <c r="E3" i="21"/>
  <c r="C199" s="1"/>
  <c r="W37" i="1" s="1"/>
  <c r="I140" i="6"/>
  <c r="C15" i="19"/>
  <c r="C15" i="21"/>
  <c r="D15" i="19"/>
  <c r="D15" i="21"/>
  <c r="I9" i="8"/>
  <c r="I10" s="1"/>
  <c r="G9"/>
  <c r="G10" s="1"/>
  <c r="E3" i="20"/>
  <c r="O3" i="1" s="1"/>
  <c r="C63" i="19"/>
  <c r="C69" s="1"/>
  <c r="C63" i="16"/>
  <c r="C69" s="1"/>
  <c r="C63" i="14"/>
  <c r="C69" s="1"/>
  <c r="E132" i="8"/>
  <c r="E133" s="1"/>
  <c r="E55" i="7" s="1"/>
  <c r="E132" i="15"/>
  <c r="E133" s="1"/>
  <c r="I133" i="6"/>
  <c r="I55" i="21" s="1"/>
  <c r="I132" i="15"/>
  <c r="I133" s="1"/>
  <c r="F56" i="19"/>
  <c r="F56" i="16"/>
  <c r="F137" i="15"/>
  <c r="F61" i="11" s="1"/>
  <c r="F133" i="6"/>
  <c r="F55" i="21" s="1"/>
  <c r="F132" i="15"/>
  <c r="F133" s="1"/>
  <c r="D132" i="8"/>
  <c r="D133" s="1"/>
  <c r="D55" i="7" s="1"/>
  <c r="D132" i="15"/>
  <c r="C56" i="19"/>
  <c r="C56" i="16"/>
  <c r="C137" i="15"/>
  <c r="C61" i="11" s="1"/>
  <c r="E56" i="19"/>
  <c r="E56" i="16"/>
  <c r="E137" i="15"/>
  <c r="E61" i="11" s="1"/>
  <c r="D119" i="19"/>
  <c r="D119" i="16"/>
  <c r="D119" i="14"/>
  <c r="G132" i="8"/>
  <c r="G133" s="1"/>
  <c r="G55" i="7" s="1"/>
  <c r="G132" i="15"/>
  <c r="G133" s="1"/>
  <c r="H56" i="14"/>
  <c r="H56" i="19"/>
  <c r="H56" i="16"/>
  <c r="H137" i="15"/>
  <c r="H61" i="11" s="1"/>
  <c r="D56" i="19"/>
  <c r="D56" i="16"/>
  <c r="D137" i="15"/>
  <c r="D61" i="11" s="1"/>
  <c r="D63" i="19"/>
  <c r="D69" s="1"/>
  <c r="D63" i="16"/>
  <c r="D69" s="1"/>
  <c r="D63" i="14"/>
  <c r="D69" s="1"/>
  <c r="C119" i="19"/>
  <c r="C119" i="16"/>
  <c r="C119" i="14"/>
  <c r="H132" i="8"/>
  <c r="H133" s="1"/>
  <c r="H55" i="7" s="1"/>
  <c r="H132" i="15"/>
  <c r="H133" s="1"/>
  <c r="G56" i="19"/>
  <c r="G56" i="16"/>
  <c r="G137" i="15"/>
  <c r="G61" i="11" s="1"/>
  <c r="I56" i="19"/>
  <c r="I56" i="16"/>
  <c r="I137" i="15"/>
  <c r="I61" i="11" s="1"/>
  <c r="D131" i="6"/>
  <c r="D140" s="1"/>
  <c r="D208" s="1"/>
  <c r="C9" i="17"/>
  <c r="AG9" i="1" s="1"/>
  <c r="E3" i="19"/>
  <c r="E4" i="17"/>
  <c r="AI4" i="1" s="1"/>
  <c r="G133" i="6"/>
  <c r="G55" i="21" s="1"/>
  <c r="H9" i="8"/>
  <c r="H10" s="1"/>
  <c r="D15" i="16"/>
  <c r="D15" i="14"/>
  <c r="C15" i="16"/>
  <c r="C15" i="14"/>
  <c r="C132" i="8"/>
  <c r="C132" i="15"/>
  <c r="I77" i="6"/>
  <c r="E3" i="16"/>
  <c r="D51" i="1"/>
  <c r="J3" i="6"/>
  <c r="K3" s="1"/>
  <c r="I2"/>
  <c r="E11" s="1"/>
  <c r="E40"/>
  <c r="E41" s="1"/>
  <c r="D40"/>
  <c r="D41" s="1"/>
  <c r="C40"/>
  <c r="C41" s="1"/>
  <c r="D15"/>
  <c r="D17" s="1"/>
  <c r="D20" s="1"/>
  <c r="G54"/>
  <c r="F57"/>
  <c r="E2" i="8"/>
  <c r="H223" s="1"/>
  <c r="G2" i="9"/>
  <c r="I48" i="6"/>
  <c r="E61"/>
  <c r="H51"/>
  <c r="E48"/>
  <c r="I52"/>
  <c r="H55"/>
  <c r="F58"/>
  <c r="F66"/>
  <c r="F49"/>
  <c r="E52"/>
  <c r="I56"/>
  <c r="E59"/>
  <c r="I73"/>
  <c r="G50"/>
  <c r="F53"/>
  <c r="E56"/>
  <c r="E60"/>
  <c r="H48"/>
  <c r="I49"/>
  <c r="E49"/>
  <c r="F50"/>
  <c r="G51"/>
  <c r="H52"/>
  <c r="I53"/>
  <c r="E53"/>
  <c r="F54"/>
  <c r="G55"/>
  <c r="H56"/>
  <c r="I57"/>
  <c r="E57"/>
  <c r="I59"/>
  <c r="I60"/>
  <c r="I61"/>
  <c r="I63"/>
  <c r="H68"/>
  <c r="F74"/>
  <c r="G48"/>
  <c r="H49"/>
  <c r="I50"/>
  <c r="E50"/>
  <c r="F51"/>
  <c r="G52"/>
  <c r="H53"/>
  <c r="I54"/>
  <c r="E54"/>
  <c r="F55"/>
  <c r="G56"/>
  <c r="H57"/>
  <c r="H58"/>
  <c r="H59"/>
  <c r="H60"/>
  <c r="G61"/>
  <c r="I64"/>
  <c r="E69"/>
  <c r="H76"/>
  <c r="F48"/>
  <c r="G49"/>
  <c r="H50"/>
  <c r="I51"/>
  <c r="E51"/>
  <c r="F52"/>
  <c r="G53"/>
  <c r="H54"/>
  <c r="I55"/>
  <c r="E55"/>
  <c r="F56"/>
  <c r="G57"/>
  <c r="G58"/>
  <c r="G59"/>
  <c r="F60"/>
  <c r="F61"/>
  <c r="I65"/>
  <c r="G71"/>
  <c r="H62"/>
  <c r="H63"/>
  <c r="H64"/>
  <c r="F65"/>
  <c r="H67"/>
  <c r="E68"/>
  <c r="G70"/>
  <c r="I72"/>
  <c r="F73"/>
  <c r="H75"/>
  <c r="E76"/>
  <c r="G62"/>
  <c r="G63"/>
  <c r="F64"/>
  <c r="E65"/>
  <c r="G67"/>
  <c r="I69"/>
  <c r="F70"/>
  <c r="H72"/>
  <c r="E73"/>
  <c r="G75"/>
  <c r="E77"/>
  <c r="F62"/>
  <c r="E63"/>
  <c r="E64"/>
  <c r="G66"/>
  <c r="I68"/>
  <c r="F69"/>
  <c r="H71"/>
  <c r="E72"/>
  <c r="G74"/>
  <c r="I76"/>
  <c r="E2" i="15"/>
  <c r="H15" i="6"/>
  <c r="C15"/>
  <c r="C17" s="1"/>
  <c r="C20" s="1"/>
  <c r="F78"/>
  <c r="E3" i="13"/>
  <c r="I58" i="6"/>
  <c r="E58"/>
  <c r="F59"/>
  <c r="G60"/>
  <c r="H61"/>
  <c r="I62"/>
  <c r="E62"/>
  <c r="F63"/>
  <c r="G64"/>
  <c r="H65"/>
  <c r="I66"/>
  <c r="E66"/>
  <c r="F67"/>
  <c r="G68"/>
  <c r="H69"/>
  <c r="I70"/>
  <c r="E70"/>
  <c r="F71"/>
  <c r="G72"/>
  <c r="H73"/>
  <c r="I74"/>
  <c r="E74"/>
  <c r="F75"/>
  <c r="G76"/>
  <c r="H77"/>
  <c r="I78"/>
  <c r="E78"/>
  <c r="I15"/>
  <c r="E3" i="12"/>
  <c r="A38" s="1"/>
  <c r="B9" s="1"/>
  <c r="G65" i="6"/>
  <c r="H66"/>
  <c r="I67"/>
  <c r="E67"/>
  <c r="F68"/>
  <c r="G69"/>
  <c r="H70"/>
  <c r="I71"/>
  <c r="E71"/>
  <c r="F72"/>
  <c r="G73"/>
  <c r="H74"/>
  <c r="I75"/>
  <c r="E75"/>
  <c r="F76"/>
  <c r="G77"/>
  <c r="H78"/>
  <c r="F15"/>
  <c r="E3" i="14"/>
  <c r="H51" s="1"/>
  <c r="F77" i="6"/>
  <c r="G78"/>
  <c r="G15"/>
  <c r="E15"/>
  <c r="E16" s="1"/>
  <c r="C56" i="14"/>
  <c r="E56"/>
  <c r="F56"/>
  <c r="D56"/>
  <c r="G56"/>
  <c r="I56"/>
  <c r="B141" i="11"/>
  <c r="A141" s="1"/>
  <c r="H56" i="1"/>
  <c r="D119"/>
  <c r="E112" i="22" s="1"/>
  <c r="E116" s="1"/>
  <c r="D63" i="1"/>
  <c r="D69" s="1"/>
  <c r="C119"/>
  <c r="D112" i="22" s="1"/>
  <c r="C15" i="1"/>
  <c r="D38" i="22" s="1"/>
  <c r="D15" i="1"/>
  <c r="E38" i="22" s="1"/>
  <c r="C200" i="6"/>
  <c r="I153" i="8"/>
  <c r="I154" s="1"/>
  <c r="I155" s="1"/>
  <c r="F153"/>
  <c r="F137"/>
  <c r="F56" i="7" s="1"/>
  <c r="H137" i="8"/>
  <c r="H56" i="7" s="1"/>
  <c r="D137" i="8"/>
  <c r="D56" i="7" s="1"/>
  <c r="G137" i="8"/>
  <c r="G56" i="7" s="1"/>
  <c r="I137" i="8"/>
  <c r="I56" i="7" s="1"/>
  <c r="C137" i="8"/>
  <c r="C56" i="7" s="1"/>
  <c r="E137" i="8"/>
  <c r="E56" i="7" s="1"/>
  <c r="C66"/>
  <c r="B66" s="1"/>
  <c r="A66" s="1"/>
  <c r="C159" i="1"/>
  <c r="C17"/>
  <c r="C146" i="8"/>
  <c r="C63" i="1"/>
  <c r="C69" s="1"/>
  <c r="F56"/>
  <c r="I56"/>
  <c r="E168" i="8"/>
  <c r="E59" i="7" s="1"/>
  <c r="E169" i="8"/>
  <c r="F168"/>
  <c r="F59" i="7" s="1"/>
  <c r="F169" i="8"/>
  <c r="C168"/>
  <c r="C59" i="7" s="1"/>
  <c r="C169" i="8"/>
  <c r="B49" i="1"/>
  <c r="A49" s="1"/>
  <c r="B60"/>
  <c r="A60" s="1"/>
  <c r="C150"/>
  <c r="B64"/>
  <c r="A64" s="1"/>
  <c r="B57"/>
  <c r="A57" s="1"/>
  <c r="B68"/>
  <c r="A68" s="1"/>
  <c r="D6" i="7"/>
  <c r="I168" i="8"/>
  <c r="I59" i="7" s="1"/>
  <c r="H168" i="8"/>
  <c r="H59" i="7" s="1"/>
  <c r="G168" i="8"/>
  <c r="G59" i="7" s="1"/>
  <c r="D168" i="8"/>
  <c r="D59" i="7" s="1"/>
  <c r="E120" i="8"/>
  <c r="B61" i="1"/>
  <c r="A61" s="1"/>
  <c r="H133" i="6"/>
  <c r="H55" i="21" s="1"/>
  <c r="D200" i="6"/>
  <c r="D56" i="1"/>
  <c r="H59" i="21"/>
  <c r="I59"/>
  <c r="F59"/>
  <c r="C59"/>
  <c r="G59"/>
  <c r="B66" i="1"/>
  <c r="A66" s="1"/>
  <c r="C200" i="8"/>
  <c r="C6" i="7"/>
  <c r="C113" i="8"/>
  <c r="C53" i="7"/>
  <c r="C153" i="8"/>
  <c r="I131"/>
  <c r="I144" s="1"/>
  <c r="B49" i="7"/>
  <c r="A48" s="1"/>
  <c r="E153" i="8"/>
  <c r="E154" s="1"/>
  <c r="E155" s="1"/>
  <c r="B65" i="1"/>
  <c r="A65" s="1"/>
  <c r="E56"/>
  <c r="I132" i="8"/>
  <c r="I133" s="1"/>
  <c r="E200"/>
  <c r="D176"/>
  <c r="D177" s="1"/>
  <c r="D119" i="7" s="1"/>
  <c r="E6"/>
  <c r="F132" i="8"/>
  <c r="F133" s="1"/>
  <c r="F55" i="7" s="1"/>
  <c r="D200" i="8"/>
  <c r="D53" i="7"/>
  <c r="C63"/>
  <c r="C198" i="8"/>
  <c r="D153"/>
  <c r="D146"/>
  <c r="D58" i="7"/>
  <c r="D145" i="8"/>
  <c r="I58" i="7"/>
  <c r="I145" i="8"/>
  <c r="G153"/>
  <c r="G154" s="1"/>
  <c r="G155" s="1"/>
  <c r="G146"/>
  <c r="E58" i="7"/>
  <c r="E145" i="8"/>
  <c r="C176"/>
  <c r="C177" s="1"/>
  <c r="C119" i="7" s="1"/>
  <c r="B60"/>
  <c r="A60" s="1"/>
  <c r="H153" i="8"/>
  <c r="H154" s="1"/>
  <c r="H155" s="1"/>
  <c r="H146"/>
  <c r="F58" i="7"/>
  <c r="F145" i="8"/>
  <c r="E140" i="6"/>
  <c r="E145"/>
  <c r="E148" s="1"/>
  <c r="G58" i="7"/>
  <c r="G145" i="8"/>
  <c r="E156"/>
  <c r="H140" i="6"/>
  <c r="H145"/>
  <c r="H148" s="1"/>
  <c r="E53" i="7"/>
  <c r="H58"/>
  <c r="H145" i="8"/>
  <c r="G156"/>
  <c r="G157" s="1"/>
  <c r="G158" s="1"/>
  <c r="F156"/>
  <c r="F157" s="1"/>
  <c r="F158" s="1"/>
  <c r="C156"/>
  <c r="C145"/>
  <c r="G131"/>
  <c r="G144" s="1"/>
  <c r="D131"/>
  <c r="F126"/>
  <c r="F127" s="1"/>
  <c r="D126"/>
  <c r="D127" s="1"/>
  <c r="C65" i="7"/>
  <c r="B65" s="1"/>
  <c r="A65" s="1"/>
  <c r="E133" i="6"/>
  <c r="E55" i="21" s="1"/>
  <c r="H126" i="8"/>
  <c r="H127" s="1"/>
  <c r="I126"/>
  <c r="I127" s="1"/>
  <c r="I156"/>
  <c r="I157" s="1"/>
  <c r="I158" s="1"/>
  <c r="G126"/>
  <c r="G127" s="1"/>
  <c r="D133" i="6"/>
  <c r="D55" i="21" s="1"/>
  <c r="D198" i="8"/>
  <c r="B68" i="7"/>
  <c r="A68" s="1"/>
  <c r="B64"/>
  <c r="A64" s="1"/>
  <c r="D69"/>
  <c r="E126" i="8"/>
  <c r="E127" s="1"/>
  <c r="B61" i="7"/>
  <c r="A61" s="1"/>
  <c r="C17"/>
  <c r="C150"/>
  <c r="C159"/>
  <c r="C126" i="8"/>
  <c r="C127" s="1"/>
  <c r="B57" i="7"/>
  <c r="A57" s="1"/>
  <c r="D156" i="8"/>
  <c r="B58" i="1"/>
  <c r="A58" s="1"/>
  <c r="C58" i="7"/>
  <c r="G140" i="6"/>
  <c r="D54" i="14" l="1"/>
  <c r="D115" s="1"/>
  <c r="D210" i="6"/>
  <c r="D211" s="1"/>
  <c r="D212" s="1"/>
  <c r="F54" i="19"/>
  <c r="B204" s="1"/>
  <c r="D204" s="1"/>
  <c r="F147" i="8"/>
  <c r="F140"/>
  <c r="F54" i="7" s="1"/>
  <c r="B218" s="1"/>
  <c r="E147" i="8"/>
  <c r="I54" i="14"/>
  <c r="B219" s="1"/>
  <c r="D219" s="1"/>
  <c r="I54" i="1"/>
  <c r="B218" s="1"/>
  <c r="D218" s="1"/>
  <c r="F55"/>
  <c r="E140" i="8"/>
  <c r="E54" i="7" s="1"/>
  <c r="B213" s="1"/>
  <c r="F55" i="14"/>
  <c r="F54" i="21"/>
  <c r="B233" s="1"/>
  <c r="D233" s="1"/>
  <c r="I141" i="6"/>
  <c r="D39" i="20"/>
  <c r="N39" i="1" s="1"/>
  <c r="N33"/>
  <c r="C39" i="20"/>
  <c r="M39" i="1" s="1"/>
  <c r="M33"/>
  <c r="D19" i="6"/>
  <c r="D21" s="1"/>
  <c r="D22" s="1"/>
  <c r="D9" i="21" s="1"/>
  <c r="F54" i="1"/>
  <c r="B204" s="1"/>
  <c r="D204" s="1"/>
  <c r="F54" i="16"/>
  <c r="B204" s="1"/>
  <c r="D204" s="1"/>
  <c r="F141" i="6"/>
  <c r="I55" i="1"/>
  <c r="F54" i="14"/>
  <c r="B204" s="1"/>
  <c r="D204" s="1"/>
  <c r="H140" i="8"/>
  <c r="H54" i="7" s="1"/>
  <c r="B228" s="1"/>
  <c r="C112" i="22"/>
  <c r="D116"/>
  <c r="E120"/>
  <c r="E121" s="1"/>
  <c r="D54" i="1"/>
  <c r="D115" s="1"/>
  <c r="D145" i="6"/>
  <c r="D148" s="1"/>
  <c r="D151"/>
  <c r="I16"/>
  <c r="I19"/>
  <c r="H17"/>
  <c r="H20" s="1"/>
  <c r="H19"/>
  <c r="G16"/>
  <c r="G19"/>
  <c r="I54" i="16"/>
  <c r="B219" s="1"/>
  <c r="D219" s="1"/>
  <c r="I54" i="19"/>
  <c r="B218" s="1"/>
  <c r="D218" s="1"/>
  <c r="I55" i="14"/>
  <c r="G55"/>
  <c r="G55" i="1"/>
  <c r="G141" i="6"/>
  <c r="I54" i="21"/>
  <c r="B248" s="1"/>
  <c r="D248" s="1"/>
  <c r="F55" i="16"/>
  <c r="I55" i="19"/>
  <c r="F55"/>
  <c r="I55" i="16"/>
  <c r="B119" i="1"/>
  <c r="A119" s="1"/>
  <c r="F17" i="6"/>
  <c r="F20" s="1"/>
  <c r="F19"/>
  <c r="H54" i="21"/>
  <c r="G54"/>
  <c r="E54"/>
  <c r="B29" i="20"/>
  <c r="D59" i="21"/>
  <c r="D54"/>
  <c r="D114" s="1"/>
  <c r="H51"/>
  <c r="D51"/>
  <c r="F51"/>
  <c r="G51"/>
  <c r="E51"/>
  <c r="C51"/>
  <c r="B119" i="14"/>
  <c r="A119" s="1"/>
  <c r="B25" i="20"/>
  <c r="F21"/>
  <c r="P21" i="1" s="1"/>
  <c r="E21" i="20"/>
  <c r="O21" i="1" s="1"/>
  <c r="D21" i="20"/>
  <c r="N21" i="1" s="1"/>
  <c r="C21" i="20"/>
  <c r="M21" i="1" s="1"/>
  <c r="H21" i="20"/>
  <c r="R21" i="1" s="1"/>
  <c r="G21" i="20"/>
  <c r="Q21" i="1" s="1"/>
  <c r="E19" i="6"/>
  <c r="G3" i="19"/>
  <c r="G3" i="20"/>
  <c r="Q3" i="1" s="1"/>
  <c r="C42" i="6"/>
  <c r="D42"/>
  <c r="D43" s="1"/>
  <c r="E42"/>
  <c r="B119" i="19"/>
  <c r="A119" s="1"/>
  <c r="B56" i="16"/>
  <c r="A56" s="1"/>
  <c r="B119"/>
  <c r="A119" s="1"/>
  <c r="B56" i="19"/>
  <c r="A56" s="1"/>
  <c r="H55" i="11"/>
  <c r="H141" i="15"/>
  <c r="F55" i="11"/>
  <c r="F141" i="15"/>
  <c r="I141"/>
  <c r="I55" i="11"/>
  <c r="G141" i="15"/>
  <c r="G55" i="11"/>
  <c r="D133" i="15"/>
  <c r="E141"/>
  <c r="E55" i="11"/>
  <c r="H54" i="19"/>
  <c r="E54"/>
  <c r="G59" i="16"/>
  <c r="G59" i="19"/>
  <c r="I59" i="16"/>
  <c r="I59" i="19"/>
  <c r="G55" i="16"/>
  <c r="G55" i="19"/>
  <c r="C59" i="16"/>
  <c r="C59" i="19"/>
  <c r="H55" i="16"/>
  <c r="H55" i="19"/>
  <c r="G54"/>
  <c r="E55" i="16"/>
  <c r="E55" i="19"/>
  <c r="F59" i="16"/>
  <c r="F59" i="19"/>
  <c r="H59" i="16"/>
  <c r="H59" i="19"/>
  <c r="B203"/>
  <c r="D203" s="1"/>
  <c r="F223" i="8"/>
  <c r="D59" i="16"/>
  <c r="D59" i="19"/>
  <c r="D54" i="16"/>
  <c r="D115" s="1"/>
  <c r="D55"/>
  <c r="D55" i="19"/>
  <c r="D54"/>
  <c r="D115" s="1"/>
  <c r="C18" i="17"/>
  <c r="AG18" i="1" s="1"/>
  <c r="E18" i="17"/>
  <c r="AI18" i="1" s="1"/>
  <c r="E51" i="19"/>
  <c r="H51"/>
  <c r="D51"/>
  <c r="G51"/>
  <c r="C51"/>
  <c r="F51"/>
  <c r="E231" i="6"/>
  <c r="F231" s="1"/>
  <c r="G231" s="1"/>
  <c r="G4" i="17"/>
  <c r="AK4" i="1" s="1"/>
  <c r="F49" i="8"/>
  <c r="I66"/>
  <c r="H65"/>
  <c r="Y68" i="6"/>
  <c r="I63" i="8"/>
  <c r="I58"/>
  <c r="E67"/>
  <c r="D15"/>
  <c r="D17" s="1"/>
  <c r="D20" s="1"/>
  <c r="F55"/>
  <c r="G49"/>
  <c r="G55"/>
  <c r="G67"/>
  <c r="G15"/>
  <c r="G63"/>
  <c r="H54"/>
  <c r="F59"/>
  <c r="G53"/>
  <c r="G71"/>
  <c r="I60"/>
  <c r="E69"/>
  <c r="F2"/>
  <c r="G2" s="1"/>
  <c r="J3"/>
  <c r="K3" s="1"/>
  <c r="F61"/>
  <c r="G73"/>
  <c r="E72"/>
  <c r="E59"/>
  <c r="I69"/>
  <c r="F52"/>
  <c r="H68"/>
  <c r="G64"/>
  <c r="E78"/>
  <c r="H57"/>
  <c r="D11" i="6"/>
  <c r="E50" i="8"/>
  <c r="F73"/>
  <c r="E76"/>
  <c r="E61"/>
  <c r="I71"/>
  <c r="F56"/>
  <c r="G50"/>
  <c r="G68"/>
  <c r="E70"/>
  <c r="I2"/>
  <c r="I11" s="1"/>
  <c r="P68" i="6"/>
  <c r="I11"/>
  <c r="C15" i="8"/>
  <c r="H53"/>
  <c r="I76"/>
  <c r="I51"/>
  <c r="F64"/>
  <c r="F74"/>
  <c r="E53"/>
  <c r="H59"/>
  <c r="F69"/>
  <c r="H70"/>
  <c r="H15"/>
  <c r="I52"/>
  <c r="H56"/>
  <c r="F66"/>
  <c r="E77"/>
  <c r="F76"/>
  <c r="G11" i="6"/>
  <c r="I61" i="8"/>
  <c r="I70"/>
  <c r="H50"/>
  <c r="G77"/>
  <c r="E62"/>
  <c r="I72"/>
  <c r="F62"/>
  <c r="G56"/>
  <c r="G74"/>
  <c r="E51"/>
  <c r="H55"/>
  <c r="F65"/>
  <c r="I77"/>
  <c r="F75"/>
  <c r="I50"/>
  <c r="H52"/>
  <c r="G62"/>
  <c r="E75"/>
  <c r="F72"/>
  <c r="H11" i="6"/>
  <c r="H58" i="8"/>
  <c r="I78"/>
  <c r="E74"/>
  <c r="H51" i="1"/>
  <c r="D18" i="6"/>
  <c r="F51" i="1"/>
  <c r="C18" i="6"/>
  <c r="C223" i="8"/>
  <c r="P65" i="6"/>
  <c r="E51" i="1"/>
  <c r="E18" i="6"/>
  <c r="F18"/>
  <c r="G18"/>
  <c r="G3" i="1"/>
  <c r="G2" i="6"/>
  <c r="V78" s="1"/>
  <c r="C51" i="1"/>
  <c r="I18" i="6"/>
  <c r="G51" i="1"/>
  <c r="G54" i="16"/>
  <c r="E54"/>
  <c r="H54"/>
  <c r="M52" i="6"/>
  <c r="C19"/>
  <c r="C21" s="1"/>
  <c r="E60" i="8"/>
  <c r="D40"/>
  <c r="D41" s="1"/>
  <c r="D42" s="1"/>
  <c r="D43" s="1"/>
  <c r="E66"/>
  <c r="I57"/>
  <c r="H76"/>
  <c r="E56"/>
  <c r="E223"/>
  <c r="C11" i="6"/>
  <c r="I15" i="8"/>
  <c r="E54"/>
  <c r="H61"/>
  <c r="I64"/>
  <c r="H72"/>
  <c r="E15"/>
  <c r="E16" s="1"/>
  <c r="E17" s="1"/>
  <c r="E20" s="1"/>
  <c r="I55"/>
  <c r="H62"/>
  <c r="E64"/>
  <c r="H73"/>
  <c r="E40"/>
  <c r="E41" s="1"/>
  <c r="E42" s="1"/>
  <c r="F63"/>
  <c r="E55"/>
  <c r="E63"/>
  <c r="H63"/>
  <c r="G57"/>
  <c r="I65"/>
  <c r="I73"/>
  <c r="H74"/>
  <c r="G75"/>
  <c r="E3" i="7"/>
  <c r="F51" s="1"/>
  <c r="F60" i="8"/>
  <c r="I54"/>
  <c r="I62"/>
  <c r="H60"/>
  <c r="G54"/>
  <c r="F70"/>
  <c r="E71"/>
  <c r="H71"/>
  <c r="G72"/>
  <c r="F15"/>
  <c r="F19" s="1"/>
  <c r="F11" i="6"/>
  <c r="F78" i="8"/>
  <c r="F68"/>
  <c r="I53"/>
  <c r="F77"/>
  <c r="F67"/>
  <c r="E52"/>
  <c r="G78"/>
  <c r="G60"/>
  <c r="I49"/>
  <c r="I74"/>
  <c r="G59"/>
  <c r="D223"/>
  <c r="E46" i="5"/>
  <c r="F53" i="8"/>
  <c r="E58"/>
  <c r="H69"/>
  <c r="I68"/>
  <c r="G65"/>
  <c r="F54"/>
  <c r="I59"/>
  <c r="G48"/>
  <c r="E68"/>
  <c r="G66"/>
  <c r="F51"/>
  <c r="E49"/>
  <c r="E57"/>
  <c r="H51"/>
  <c r="H67"/>
  <c r="G61"/>
  <c r="I67"/>
  <c r="I75"/>
  <c r="H78"/>
  <c r="F71"/>
  <c r="F48"/>
  <c r="I48"/>
  <c r="I56"/>
  <c r="H48"/>
  <c r="H64"/>
  <c r="G58"/>
  <c r="E65"/>
  <c r="E73"/>
  <c r="H75"/>
  <c r="G76"/>
  <c r="C40"/>
  <c r="C41" s="1"/>
  <c r="C42" s="1"/>
  <c r="C43" s="1"/>
  <c r="G70"/>
  <c r="G52"/>
  <c r="F58"/>
  <c r="G69"/>
  <c r="G51"/>
  <c r="F57"/>
  <c r="H77"/>
  <c r="H66"/>
  <c r="F50"/>
  <c r="H49"/>
  <c r="E48"/>
  <c r="G223"/>
  <c r="AA77" i="6"/>
  <c r="P48"/>
  <c r="J58"/>
  <c r="M63"/>
  <c r="M73"/>
  <c r="J55"/>
  <c r="AC57"/>
  <c r="AD57" s="1"/>
  <c r="Y48"/>
  <c r="P63"/>
  <c r="V77"/>
  <c r="P77"/>
  <c r="J77"/>
  <c r="S72"/>
  <c r="T72" s="1"/>
  <c r="AA74"/>
  <c r="J68"/>
  <c r="AC65"/>
  <c r="AD65" s="1"/>
  <c r="AC72"/>
  <c r="AD72" s="1"/>
  <c r="P72"/>
  <c r="F16"/>
  <c r="Y61"/>
  <c r="P74"/>
  <c r="M67"/>
  <c r="S58"/>
  <c r="T58" s="1"/>
  <c r="J63"/>
  <c r="Y73"/>
  <c r="S53"/>
  <c r="T53" s="1"/>
  <c r="AC69"/>
  <c r="AD69" s="1"/>
  <c r="AA49"/>
  <c r="J54"/>
  <c r="AC48"/>
  <c r="AD48" s="1"/>
  <c r="P52"/>
  <c r="AC63"/>
  <c r="AD63" s="1"/>
  <c r="M77"/>
  <c r="AC77"/>
  <c r="AD77" s="1"/>
  <c r="P73"/>
  <c r="Y77"/>
  <c r="S77"/>
  <c r="T77" s="1"/>
  <c r="Y74"/>
  <c r="J67"/>
  <c r="E3" i="11"/>
  <c r="G51" s="1"/>
  <c r="E17" i="6"/>
  <c r="E236" i="15"/>
  <c r="J70" i="6"/>
  <c r="S66"/>
  <c r="T66" s="1"/>
  <c r="S63"/>
  <c r="T63" s="1"/>
  <c r="P56"/>
  <c r="P53"/>
  <c r="V64"/>
  <c r="AA62"/>
  <c r="J59"/>
  <c r="AA48"/>
  <c r="J71"/>
  <c r="V73"/>
  <c r="S67"/>
  <c r="T67" s="1"/>
  <c r="S60"/>
  <c r="T60" s="1"/>
  <c r="P69"/>
  <c r="V55"/>
  <c r="M49"/>
  <c r="Y57"/>
  <c r="P54"/>
  <c r="AA51"/>
  <c r="P50"/>
  <c r="S52"/>
  <c r="T52" s="1"/>
  <c r="AC61"/>
  <c r="AD61" s="1"/>
  <c r="AC73"/>
  <c r="AD73" s="1"/>
  <c r="P55"/>
  <c r="J60"/>
  <c r="Y52"/>
  <c r="AA55"/>
  <c r="Y59"/>
  <c r="AA54"/>
  <c r="Y63"/>
  <c r="V56"/>
  <c r="Y67"/>
  <c r="AC67"/>
  <c r="AD67" s="1"/>
  <c r="J73"/>
  <c r="AC52"/>
  <c r="AD52" s="1"/>
  <c r="AC50"/>
  <c r="AD50" s="1"/>
  <c r="AA57"/>
  <c r="Y60"/>
  <c r="J50"/>
  <c r="Y49"/>
  <c r="Y55"/>
  <c r="Y69"/>
  <c r="AA69"/>
  <c r="V63"/>
  <c r="S49"/>
  <c r="T49" s="1"/>
  <c r="V51"/>
  <c r="V67"/>
  <c r="AA73"/>
  <c r="V52"/>
  <c r="AC55"/>
  <c r="AD55" s="1"/>
  <c r="J56"/>
  <c r="J49"/>
  <c r="J52"/>
  <c r="AA67"/>
  <c r="AA63"/>
  <c r="P67"/>
  <c r="V75"/>
  <c r="J69"/>
  <c r="I17"/>
  <c r="I20" s="1"/>
  <c r="E51" i="16"/>
  <c r="H51"/>
  <c r="D51"/>
  <c r="G51"/>
  <c r="C51"/>
  <c r="F51"/>
  <c r="G3" i="13"/>
  <c r="G3" i="16"/>
  <c r="G17" i="6"/>
  <c r="G20" s="1"/>
  <c r="F15" i="15"/>
  <c r="AA72" i="6"/>
  <c r="D15" i="15"/>
  <c r="K8"/>
  <c r="C40"/>
  <c r="C41" s="1"/>
  <c r="C42" s="1"/>
  <c r="I2"/>
  <c r="C11" s="1"/>
  <c r="I15"/>
  <c r="C15"/>
  <c r="AC66" i="6"/>
  <c r="AD66" s="1"/>
  <c r="J3" i="15"/>
  <c r="K3" s="1"/>
  <c r="H52"/>
  <c r="M69" i="6"/>
  <c r="F51" i="15"/>
  <c r="G53"/>
  <c r="I48"/>
  <c r="F48"/>
  <c r="I50"/>
  <c r="F55"/>
  <c r="G56"/>
  <c r="I58"/>
  <c r="M68" i="6"/>
  <c r="E15" i="15"/>
  <c r="E16" s="1"/>
  <c r="G15"/>
  <c r="E48"/>
  <c r="E54"/>
  <c r="G61"/>
  <c r="G3" i="12"/>
  <c r="G5" s="1"/>
  <c r="H78" i="15"/>
  <c r="J66" i="6"/>
  <c r="AA52"/>
  <c r="V69"/>
  <c r="S73"/>
  <c r="T73" s="1"/>
  <c r="AC51"/>
  <c r="AD51" s="1"/>
  <c r="Y66"/>
  <c r="J75"/>
  <c r="J65"/>
  <c r="S69"/>
  <c r="T69" s="1"/>
  <c r="H18"/>
  <c r="G3" i="14"/>
  <c r="B61" i="11"/>
  <c r="A61" s="1"/>
  <c r="H49" i="15"/>
  <c r="H53"/>
  <c r="E40"/>
  <c r="E41" s="1"/>
  <c r="E42" s="1"/>
  <c r="H15"/>
  <c r="F2"/>
  <c r="G3" i="11" s="1"/>
  <c r="H48" i="15"/>
  <c r="F56"/>
  <c r="G51"/>
  <c r="E57"/>
  <c r="F54"/>
  <c r="G235"/>
  <c r="M71" i="6"/>
  <c r="P75"/>
  <c r="J74"/>
  <c r="M58"/>
  <c r="M55"/>
  <c r="J64"/>
  <c r="M51"/>
  <c r="V72"/>
  <c r="S70"/>
  <c r="T70" s="1"/>
  <c r="M57"/>
  <c r="S54"/>
  <c r="T54" s="1"/>
  <c r="M50"/>
  <c r="M61"/>
  <c r="V53"/>
  <c r="V49"/>
  <c r="S62"/>
  <c r="T62" s="1"/>
  <c r="Y65"/>
  <c r="V60"/>
  <c r="M56"/>
  <c r="M59"/>
  <c r="AA66"/>
  <c r="M48"/>
  <c r="AA75"/>
  <c r="Y58"/>
  <c r="AC75"/>
  <c r="AD75" s="1"/>
  <c r="J53"/>
  <c r="P62"/>
  <c r="AC74"/>
  <c r="AD74" s="1"/>
  <c r="Y53"/>
  <c r="P66"/>
  <c r="P58"/>
  <c r="P49"/>
  <c r="AC60"/>
  <c r="AD60" s="1"/>
  <c r="Y51"/>
  <c r="P60"/>
  <c r="Y62"/>
  <c r="AC71"/>
  <c r="AD71" s="1"/>
  <c r="S50"/>
  <c r="T50" s="1"/>
  <c r="J61"/>
  <c r="S75"/>
  <c r="T75" s="1"/>
  <c r="V48"/>
  <c r="V61"/>
  <c r="V65"/>
  <c r="S61"/>
  <c r="T61" s="1"/>
  <c r="S56"/>
  <c r="T56" s="1"/>
  <c r="S51"/>
  <c r="T51" s="1"/>
  <c r="AC49"/>
  <c r="AD49" s="1"/>
  <c r="V59"/>
  <c r="V74"/>
  <c r="M72"/>
  <c r="V68"/>
  <c r="V66"/>
  <c r="AC64"/>
  <c r="AD64" s="1"/>
  <c r="S64"/>
  <c r="T64" s="1"/>
  <c r="J62"/>
  <c r="M60"/>
  <c r="AC53"/>
  <c r="AD53" s="1"/>
  <c r="S74"/>
  <c r="T74" s="1"/>
  <c r="V71"/>
  <c r="S55"/>
  <c r="T55" s="1"/>
  <c r="AA65"/>
  <c r="Y64"/>
  <c r="S57"/>
  <c r="T57" s="1"/>
  <c r="Y72"/>
  <c r="J57"/>
  <c r="Y56"/>
  <c r="AA68"/>
  <c r="E55" i="5"/>
  <c r="AA58" i="6"/>
  <c r="AA56"/>
  <c r="P61"/>
  <c r="AC58"/>
  <c r="AD58" s="1"/>
  <c r="AC56"/>
  <c r="AD56" s="1"/>
  <c r="AA71"/>
  <c r="AC62"/>
  <c r="AD62" s="1"/>
  <c r="J51"/>
  <c r="P71"/>
  <c r="P59"/>
  <c r="P51"/>
  <c r="P70"/>
  <c r="Y50"/>
  <c r="P64"/>
  <c r="Y54"/>
  <c r="J48"/>
  <c r="P57"/>
  <c r="AA50"/>
  <c r="AA59"/>
  <c r="AA53"/>
  <c r="AC59"/>
  <c r="AD59" s="1"/>
  <c r="M70"/>
  <c r="V62"/>
  <c r="J72"/>
  <c r="M75"/>
  <c r="S48"/>
  <c r="T48" s="1"/>
  <c r="M53"/>
  <c r="M65"/>
  <c r="V58"/>
  <c r="AA70"/>
  <c r="S59"/>
  <c r="T59" s="1"/>
  <c r="M74"/>
  <c r="AC70"/>
  <c r="AD70" s="1"/>
  <c r="S68"/>
  <c r="T68" s="1"/>
  <c r="M66"/>
  <c r="AA64"/>
  <c r="M64"/>
  <c r="AA60"/>
  <c r="V57"/>
  <c r="V50"/>
  <c r="V54"/>
  <c r="S71"/>
  <c r="T71" s="1"/>
  <c r="V70"/>
  <c r="M62"/>
  <c r="AC54"/>
  <c r="AD54" s="1"/>
  <c r="Y70"/>
  <c r="Y75"/>
  <c r="M54"/>
  <c r="S65"/>
  <c r="T65" s="1"/>
  <c r="AA61"/>
  <c r="AC68"/>
  <c r="AD68" s="1"/>
  <c r="Y71"/>
  <c r="H16"/>
  <c r="D51" i="14"/>
  <c r="G51"/>
  <c r="E51"/>
  <c r="H50" i="15"/>
  <c r="H54"/>
  <c r="E61"/>
  <c r="E50"/>
  <c r="I52"/>
  <c r="G55"/>
  <c r="D40"/>
  <c r="D41" s="1"/>
  <c r="D42" s="1"/>
  <c r="D43" s="1"/>
  <c r="H51"/>
  <c r="E53"/>
  <c r="E63"/>
  <c r="F49"/>
  <c r="F53"/>
  <c r="I59"/>
  <c r="G49"/>
  <c r="E52"/>
  <c r="I54"/>
  <c r="I61"/>
  <c r="F50"/>
  <c r="G50"/>
  <c r="H59"/>
  <c r="C51" i="14"/>
  <c r="F52" i="15"/>
  <c r="G60"/>
  <c r="E56"/>
  <c r="I66"/>
  <c r="G72"/>
  <c r="F51" i="14"/>
  <c r="H55" i="15"/>
  <c r="I55"/>
  <c r="E64"/>
  <c r="F57"/>
  <c r="F58"/>
  <c r="I49"/>
  <c r="G52"/>
  <c r="E55"/>
  <c r="E59"/>
  <c r="E58"/>
  <c r="I60"/>
  <c r="G63"/>
  <c r="E66"/>
  <c r="E70"/>
  <c r="F71"/>
  <c r="G71"/>
  <c r="F69"/>
  <c r="H74"/>
  <c r="H77"/>
  <c r="G48"/>
  <c r="E51"/>
  <c r="I53"/>
  <c r="I57"/>
  <c r="I56"/>
  <c r="G59"/>
  <c r="E62"/>
  <c r="I64"/>
  <c r="G67"/>
  <c r="H63"/>
  <c r="I65"/>
  <c r="F61"/>
  <c r="E75"/>
  <c r="E78"/>
  <c r="H227"/>
  <c r="H57"/>
  <c r="E49"/>
  <c r="I51"/>
  <c r="G54"/>
  <c r="G58"/>
  <c r="G57"/>
  <c r="E60"/>
  <c r="I62"/>
  <c r="G65"/>
  <c r="E68"/>
  <c r="H67"/>
  <c r="G68"/>
  <c r="F65"/>
  <c r="I77"/>
  <c r="H73"/>
  <c r="G69"/>
  <c r="G73"/>
  <c r="F62"/>
  <c r="F66"/>
  <c r="F70"/>
  <c r="G62"/>
  <c r="E65"/>
  <c r="I67"/>
  <c r="G70"/>
  <c r="H56"/>
  <c r="H60"/>
  <c r="H64"/>
  <c r="H68"/>
  <c r="I74"/>
  <c r="G74"/>
  <c r="E77"/>
  <c r="F73"/>
  <c r="F77"/>
  <c r="G77"/>
  <c r="F72"/>
  <c r="F76"/>
  <c r="C235"/>
  <c r="C236"/>
  <c r="I70"/>
  <c r="F60"/>
  <c r="F64"/>
  <c r="F68"/>
  <c r="E72"/>
  <c r="I63"/>
  <c r="G66"/>
  <c r="E69"/>
  <c r="I72"/>
  <c r="H58"/>
  <c r="H62"/>
  <c r="H66"/>
  <c r="H70"/>
  <c r="E73"/>
  <c r="I75"/>
  <c r="G78"/>
  <c r="F75"/>
  <c r="E76"/>
  <c r="I78"/>
  <c r="F74"/>
  <c r="F78"/>
  <c r="C227"/>
  <c r="D236"/>
  <c r="I68"/>
  <c r="E71"/>
  <c r="H61"/>
  <c r="H65"/>
  <c r="H69"/>
  <c r="G75"/>
  <c r="G64"/>
  <c r="E67"/>
  <c r="I69"/>
  <c r="E74"/>
  <c r="F59"/>
  <c r="F63"/>
  <c r="F67"/>
  <c r="I71"/>
  <c r="I73"/>
  <c r="G76"/>
  <c r="H72"/>
  <c r="H76"/>
  <c r="I76"/>
  <c r="H71"/>
  <c r="H75"/>
  <c r="F227"/>
  <c r="G227"/>
  <c r="F235"/>
  <c r="D227"/>
  <c r="E227"/>
  <c r="D235"/>
  <c r="E235"/>
  <c r="F59" i="14"/>
  <c r="H59"/>
  <c r="G59"/>
  <c r="I59"/>
  <c r="C59"/>
  <c r="D59"/>
  <c r="D55"/>
  <c r="E55"/>
  <c r="H54"/>
  <c r="B56"/>
  <c r="A56" s="1"/>
  <c r="G54"/>
  <c r="E54"/>
  <c r="H55"/>
  <c r="B266" i="11"/>
  <c r="B265"/>
  <c r="B281"/>
  <c r="B280"/>
  <c r="D255"/>
  <c r="I141" i="8"/>
  <c r="H141"/>
  <c r="B56" i="7"/>
  <c r="A56" s="1"/>
  <c r="B219" i="11"/>
  <c r="D219" s="1"/>
  <c r="B220"/>
  <c r="D220" s="1"/>
  <c r="B234"/>
  <c r="D234" s="1"/>
  <c r="B235"/>
  <c r="D235" s="1"/>
  <c r="H54" i="1"/>
  <c r="B213" s="1"/>
  <c r="E54"/>
  <c r="B199" s="1"/>
  <c r="D199" s="1"/>
  <c r="G54"/>
  <c r="B208" s="1"/>
  <c r="B209" i="11"/>
  <c r="D209" s="1"/>
  <c r="C59" i="1"/>
  <c r="D59"/>
  <c r="F59"/>
  <c r="H59"/>
  <c r="G59"/>
  <c r="I59"/>
  <c r="G141" i="8"/>
  <c r="E55" i="1"/>
  <c r="D141" i="6"/>
  <c r="D201" s="1"/>
  <c r="E141" i="8"/>
  <c r="H141" i="6"/>
  <c r="D140" i="8"/>
  <c r="D54" i="7" s="1"/>
  <c r="B208" s="1"/>
  <c r="D141" i="8"/>
  <c r="D199" s="1"/>
  <c r="I140"/>
  <c r="A48" i="1"/>
  <c r="I55" i="7"/>
  <c r="B56" i="1"/>
  <c r="A56" s="1"/>
  <c r="H55"/>
  <c r="D70" i="7"/>
  <c r="A49"/>
  <c r="I147" i="8"/>
  <c r="D115" i="7"/>
  <c r="F141" i="8"/>
  <c r="H147"/>
  <c r="G147"/>
  <c r="G140"/>
  <c r="G54" i="7" s="1"/>
  <c r="D150" i="8"/>
  <c r="D144"/>
  <c r="D147" s="1"/>
  <c r="B119" i="7"/>
  <c r="A119" s="1"/>
  <c r="E141" i="6"/>
  <c r="C69" i="7"/>
  <c r="D55" i="1"/>
  <c r="B59" i="7"/>
  <c r="A59" s="1"/>
  <c r="B58"/>
  <c r="A58" s="1"/>
  <c r="G3" i="21" l="1"/>
  <c r="G163"/>
  <c r="C43" i="6"/>
  <c r="B203" i="14"/>
  <c r="D203" s="1"/>
  <c r="D205" s="1"/>
  <c r="B232" i="21"/>
  <c r="D232" s="1"/>
  <c r="D234" s="1"/>
  <c r="B193" i="14"/>
  <c r="D193" s="1"/>
  <c r="D205" i="15"/>
  <c r="B218" i="14"/>
  <c r="D218" s="1"/>
  <c r="D220" s="1"/>
  <c r="B218" i="16"/>
  <c r="D218" s="1"/>
  <c r="D220" s="1"/>
  <c r="B219" i="1"/>
  <c r="D219" s="1"/>
  <c r="D220" s="1"/>
  <c r="B193" i="16"/>
  <c r="D193" s="1"/>
  <c r="B203"/>
  <c r="D203" s="1"/>
  <c r="D205" s="1"/>
  <c r="A29" i="20"/>
  <c r="K29" i="1" s="1"/>
  <c r="L29"/>
  <c r="D9" i="19"/>
  <c r="A25" i="20"/>
  <c r="K25" i="1" s="1"/>
  <c r="L25"/>
  <c r="B203"/>
  <c r="D203" s="1"/>
  <c r="D205" s="1"/>
  <c r="D9" i="14"/>
  <c r="D9" i="1"/>
  <c r="D8" i="17" s="1"/>
  <c r="AH8" i="1" s="1"/>
  <c r="D8" i="13"/>
  <c r="D113" i="6"/>
  <c r="D7" i="20"/>
  <c r="N7" i="1" s="1"/>
  <c r="C23" i="6"/>
  <c r="K63" s="1"/>
  <c r="N63" s="1"/>
  <c r="D9" i="16"/>
  <c r="B194" i="1"/>
  <c r="D194" s="1"/>
  <c r="B193"/>
  <c r="D193" s="1"/>
  <c r="D120" i="22"/>
  <c r="D121" s="1"/>
  <c r="B219" i="19"/>
  <c r="D219" s="1"/>
  <c r="D220" s="1"/>
  <c r="H21" i="6"/>
  <c r="I16" i="15"/>
  <c r="I19"/>
  <c r="I17" i="8"/>
  <c r="I20" s="1"/>
  <c r="I19"/>
  <c r="I21" i="6"/>
  <c r="H19" i="15"/>
  <c r="H16" i="8"/>
  <c r="H19"/>
  <c r="G17"/>
  <c r="G20" s="1"/>
  <c r="G19"/>
  <c r="G16" i="15"/>
  <c r="G19"/>
  <c r="G21" i="6"/>
  <c r="B247" i="21"/>
  <c r="D247" s="1"/>
  <c r="D249" s="1"/>
  <c r="E19" i="8"/>
  <c r="E21" s="1"/>
  <c r="E23" s="1"/>
  <c r="F21" i="6"/>
  <c r="F23" s="1"/>
  <c r="F111" s="1"/>
  <c r="F16" i="15"/>
  <c r="F19"/>
  <c r="D168" i="21"/>
  <c r="X6" i="1" s="1"/>
  <c r="B227" i="21"/>
  <c r="D227" s="1"/>
  <c r="B228"/>
  <c r="D228" s="1"/>
  <c r="B242"/>
  <c r="D242" s="1"/>
  <c r="B243"/>
  <c r="D243" s="1"/>
  <c r="B237"/>
  <c r="D237" s="1"/>
  <c r="B238"/>
  <c r="D238" s="1"/>
  <c r="B222"/>
  <c r="D222" s="1"/>
  <c r="D69"/>
  <c r="B24" i="20"/>
  <c r="D55" i="11"/>
  <c r="D141" i="15"/>
  <c r="D199" s="1"/>
  <c r="D70" i="16"/>
  <c r="D118" s="1"/>
  <c r="D205" i="19"/>
  <c r="B209"/>
  <c r="D209" s="1"/>
  <c r="B208"/>
  <c r="D208" s="1"/>
  <c r="B199"/>
  <c r="D199" s="1"/>
  <c r="B198"/>
  <c r="D198" s="1"/>
  <c r="B213"/>
  <c r="D213" s="1"/>
  <c r="B214"/>
  <c r="D214" s="1"/>
  <c r="B193"/>
  <c r="D193" s="1"/>
  <c r="D70"/>
  <c r="I100" i="6"/>
  <c r="F24"/>
  <c r="E92"/>
  <c r="H17" i="8"/>
  <c r="H20" s="1"/>
  <c r="D19"/>
  <c r="D21" s="1"/>
  <c r="D22" s="1"/>
  <c r="C11"/>
  <c r="G11"/>
  <c r="H11"/>
  <c r="D11"/>
  <c r="E11"/>
  <c r="E20" i="6"/>
  <c r="E21" s="1"/>
  <c r="E23" s="1"/>
  <c r="E111" s="1"/>
  <c r="E43" i="8"/>
  <c r="E24" i="6"/>
  <c r="E43"/>
  <c r="C19" i="15"/>
  <c r="C21" s="1"/>
  <c r="D70" i="1"/>
  <c r="C19" i="8"/>
  <c r="C21" s="1"/>
  <c r="C18"/>
  <c r="J76" i="6"/>
  <c r="E34"/>
  <c r="P78"/>
  <c r="G16" i="8"/>
  <c r="AA62"/>
  <c r="D18"/>
  <c r="D100" s="1"/>
  <c r="D19" i="7" s="1"/>
  <c r="E19" i="15"/>
  <c r="C24" i="6"/>
  <c r="D24"/>
  <c r="D23"/>
  <c r="D111" s="1"/>
  <c r="C22"/>
  <c r="C9" i="21" s="1"/>
  <c r="D17" i="15"/>
  <c r="D20" s="1"/>
  <c r="D19"/>
  <c r="D21" s="1"/>
  <c r="D70" i="14"/>
  <c r="D118" s="1"/>
  <c r="D203" i="6"/>
  <c r="F17" i="8"/>
  <c r="F20" s="1"/>
  <c r="F21" s="1"/>
  <c r="F22" s="1"/>
  <c r="G34" i="6"/>
  <c r="H22" i="22" s="1"/>
  <c r="F16" i="8"/>
  <c r="F11"/>
  <c r="G92" i="6"/>
  <c r="M71" i="8"/>
  <c r="AA50"/>
  <c r="C17"/>
  <c r="C20" s="1"/>
  <c r="Y69"/>
  <c r="P55"/>
  <c r="AC50"/>
  <c r="S59"/>
  <c r="D51" i="7"/>
  <c r="F100" i="6"/>
  <c r="F34"/>
  <c r="G22" i="22" s="1"/>
  <c r="E18" i="8"/>
  <c r="E24" s="1"/>
  <c r="H18"/>
  <c r="H24" s="1"/>
  <c r="AA76" i="6"/>
  <c r="AB76" s="1"/>
  <c r="M76"/>
  <c r="AA78"/>
  <c r="AB78" s="1"/>
  <c r="AC69" i="8"/>
  <c r="AA59"/>
  <c r="J55"/>
  <c r="F18"/>
  <c r="F92" s="1"/>
  <c r="G18"/>
  <c r="S78" i="6"/>
  <c r="T78" s="1"/>
  <c r="P76"/>
  <c r="AC78"/>
  <c r="AD78" s="1"/>
  <c r="Y78"/>
  <c r="Z78" s="1"/>
  <c r="AC76"/>
  <c r="AD76" s="1"/>
  <c r="G3" i="7"/>
  <c r="P69" i="8"/>
  <c r="I18"/>
  <c r="I100" s="1"/>
  <c r="J78" i="6"/>
  <c r="H2"/>
  <c r="I12" s="1"/>
  <c r="I13" s="1"/>
  <c r="I14" s="1"/>
  <c r="V76"/>
  <c r="S76"/>
  <c r="T76" s="1"/>
  <c r="M78"/>
  <c r="Y76"/>
  <c r="P50" i="8"/>
  <c r="P53"/>
  <c r="S58"/>
  <c r="J77"/>
  <c r="S77"/>
  <c r="I24" i="6"/>
  <c r="AA58" i="8"/>
  <c r="P58"/>
  <c r="AA77"/>
  <c r="Y62"/>
  <c r="P61"/>
  <c r="AA66"/>
  <c r="P70"/>
  <c r="AC66"/>
  <c r="Y58"/>
  <c r="M58"/>
  <c r="S70"/>
  <c r="D100" i="6"/>
  <c r="D19" i="21" s="1"/>
  <c r="V58" i="8"/>
  <c r="AC58"/>
  <c r="J61"/>
  <c r="I92" i="6"/>
  <c r="J58" i="8"/>
  <c r="AA70"/>
  <c r="Y71"/>
  <c r="S51"/>
  <c r="S61"/>
  <c r="M55"/>
  <c r="J72"/>
  <c r="Y70"/>
  <c r="F92" i="6"/>
  <c r="M70" i="8"/>
  <c r="M50"/>
  <c r="Y50"/>
  <c r="AA55"/>
  <c r="V55"/>
  <c r="AA61"/>
  <c r="Y61"/>
  <c r="I16"/>
  <c r="J70"/>
  <c r="J51"/>
  <c r="V70"/>
  <c r="AC70"/>
  <c r="H51" i="7"/>
  <c r="J50" i="8"/>
  <c r="V50"/>
  <c r="AC55"/>
  <c r="S55"/>
  <c r="M61"/>
  <c r="V61"/>
  <c r="E51" i="7"/>
  <c r="G51"/>
  <c r="S50" i="8"/>
  <c r="Y55"/>
  <c r="AC61"/>
  <c r="C51" i="7"/>
  <c r="AA49" i="8"/>
  <c r="Y48"/>
  <c r="V52"/>
  <c r="S54"/>
  <c r="G100" i="6"/>
  <c r="I34"/>
  <c r="J22" i="22" s="1"/>
  <c r="G24" i="6"/>
  <c r="G192"/>
  <c r="F11" i="15"/>
  <c r="E17"/>
  <c r="E20" s="1"/>
  <c r="I18"/>
  <c r="I192" i="6"/>
  <c r="H11" i="15"/>
  <c r="B208" i="16"/>
  <c r="D208" s="1"/>
  <c r="B209"/>
  <c r="D209" s="1"/>
  <c r="B213"/>
  <c r="D213" s="1"/>
  <c r="B214"/>
  <c r="D214" s="1"/>
  <c r="B198"/>
  <c r="D198" s="1"/>
  <c r="B199"/>
  <c r="D199" s="1"/>
  <c r="AA64" i="8"/>
  <c r="Y49"/>
  <c r="S75"/>
  <c r="V67"/>
  <c r="S53"/>
  <c r="Y74"/>
  <c r="AC65"/>
  <c r="H16" i="15"/>
  <c r="AC48" i="8"/>
  <c r="AA68"/>
  <c r="J52"/>
  <c r="Y72"/>
  <c r="P60"/>
  <c r="J73"/>
  <c r="J54"/>
  <c r="M56"/>
  <c r="M68"/>
  <c r="J74"/>
  <c r="P72"/>
  <c r="V68"/>
  <c r="S64"/>
  <c r="AA73"/>
  <c r="P74"/>
  <c r="V49"/>
  <c r="AC67"/>
  <c r="J53"/>
  <c r="J60"/>
  <c r="P63"/>
  <c r="S57"/>
  <c r="Y52"/>
  <c r="M73"/>
  <c r="AC54"/>
  <c r="AA56"/>
  <c r="S49"/>
  <c r="AC49"/>
  <c r="Y68"/>
  <c r="S68"/>
  <c r="M48"/>
  <c r="P52"/>
  <c r="M52"/>
  <c r="P73"/>
  <c r="V73"/>
  <c r="M65"/>
  <c r="V48"/>
  <c r="AA53"/>
  <c r="Y53"/>
  <c r="AA74"/>
  <c r="S74"/>
  <c r="AA54"/>
  <c r="P54"/>
  <c r="M72"/>
  <c r="V72"/>
  <c r="J48"/>
  <c r="AC57"/>
  <c r="J49"/>
  <c r="P49"/>
  <c r="J68"/>
  <c r="P68"/>
  <c r="P48"/>
  <c r="M75"/>
  <c r="AA52"/>
  <c r="S52"/>
  <c r="J63"/>
  <c r="S73"/>
  <c r="Y73"/>
  <c r="M53"/>
  <c r="V53"/>
  <c r="V74"/>
  <c r="M74"/>
  <c r="Y54"/>
  <c r="M54"/>
  <c r="AA72"/>
  <c r="S72"/>
  <c r="AA48"/>
  <c r="M49"/>
  <c r="AC68"/>
  <c r="AC52"/>
  <c r="AC73"/>
  <c r="S48"/>
  <c r="AC53"/>
  <c r="AC74"/>
  <c r="V54"/>
  <c r="AC72"/>
  <c r="F18" i="15"/>
  <c r="Y66" i="8"/>
  <c r="V65"/>
  <c r="AC56"/>
  <c r="Y60"/>
  <c r="M67"/>
  <c r="Y51"/>
  <c r="V59"/>
  <c r="AC77"/>
  <c r="J71"/>
  <c r="M63"/>
  <c r="J75"/>
  <c r="V57"/>
  <c r="V62"/>
  <c r="J64"/>
  <c r="J56"/>
  <c r="S69"/>
  <c r="J69"/>
  <c r="P66"/>
  <c r="J66"/>
  <c r="P56"/>
  <c r="AA57"/>
  <c r="P57"/>
  <c r="S62"/>
  <c r="P62"/>
  <c r="Y59"/>
  <c r="M59"/>
  <c r="P75"/>
  <c r="Y75"/>
  <c r="S67"/>
  <c r="Y67"/>
  <c r="AA63"/>
  <c r="V63"/>
  <c r="P64"/>
  <c r="V64"/>
  <c r="AC71"/>
  <c r="P71"/>
  <c r="J65"/>
  <c r="Y65"/>
  <c r="AA60"/>
  <c r="S60"/>
  <c r="AC51"/>
  <c r="V51"/>
  <c r="V77"/>
  <c r="P77"/>
  <c r="M69"/>
  <c r="AA69"/>
  <c r="S66"/>
  <c r="V66"/>
  <c r="Y56"/>
  <c r="M57"/>
  <c r="Y57"/>
  <c r="AC62"/>
  <c r="M62"/>
  <c r="J59"/>
  <c r="P59"/>
  <c r="V56"/>
  <c r="AC75"/>
  <c r="V75"/>
  <c r="AA67"/>
  <c r="P67"/>
  <c r="AC63"/>
  <c r="S63"/>
  <c r="M64"/>
  <c r="AC64"/>
  <c r="AA71"/>
  <c r="V71"/>
  <c r="S65"/>
  <c r="P65"/>
  <c r="V60"/>
  <c r="AC60"/>
  <c r="M51"/>
  <c r="P51"/>
  <c r="Y77"/>
  <c r="V69"/>
  <c r="M66"/>
  <c r="S56"/>
  <c r="J57"/>
  <c r="J62"/>
  <c r="AC59"/>
  <c r="AA75"/>
  <c r="J67"/>
  <c r="Y63"/>
  <c r="Y64"/>
  <c r="S71"/>
  <c r="AA65"/>
  <c r="M60"/>
  <c r="AA51"/>
  <c r="M77"/>
  <c r="D51" i="11"/>
  <c r="H17" i="15"/>
  <c r="H20" s="1"/>
  <c r="J51"/>
  <c r="C17"/>
  <c r="C20" s="1"/>
  <c r="H51" i="11"/>
  <c r="C51"/>
  <c r="E51"/>
  <c r="F51"/>
  <c r="D11" i="15"/>
  <c r="H92" i="6"/>
  <c r="E18" i="15"/>
  <c r="E92" s="1"/>
  <c r="J57"/>
  <c r="P66"/>
  <c r="B7" i="6"/>
  <c r="E7" s="1"/>
  <c r="F192"/>
  <c r="H34"/>
  <c r="I22" i="22" s="1"/>
  <c r="H100" i="6"/>
  <c r="D18" i="15"/>
  <c r="C18"/>
  <c r="K18" i="6"/>
  <c r="H192"/>
  <c r="H24"/>
  <c r="H18" i="15"/>
  <c r="H24" s="1"/>
  <c r="G18"/>
  <c r="G24" s="1"/>
  <c r="E192" i="6"/>
  <c r="G2" i="15"/>
  <c r="J76" s="1"/>
  <c r="M57"/>
  <c r="J52"/>
  <c r="M77"/>
  <c r="F17"/>
  <c r="F20" s="1"/>
  <c r="S59"/>
  <c r="J69"/>
  <c r="P68"/>
  <c r="J68"/>
  <c r="P49"/>
  <c r="V73"/>
  <c r="AA68"/>
  <c r="V48"/>
  <c r="P52"/>
  <c r="P51"/>
  <c r="P69"/>
  <c r="V59"/>
  <c r="Y50"/>
  <c r="AA57"/>
  <c r="M48"/>
  <c r="M68"/>
  <c r="V68"/>
  <c r="J49"/>
  <c r="I17"/>
  <c r="I20" s="1"/>
  <c r="E11"/>
  <c r="G11"/>
  <c r="Y68"/>
  <c r="S68"/>
  <c r="G17"/>
  <c r="G20" s="1"/>
  <c r="I11"/>
  <c r="AC68"/>
  <c r="M67"/>
  <c r="M62"/>
  <c r="J66"/>
  <c r="M56"/>
  <c r="V77"/>
  <c r="V74"/>
  <c r="P58"/>
  <c r="S50"/>
  <c r="V67"/>
  <c r="AC62"/>
  <c r="M73"/>
  <c r="V61"/>
  <c r="P71"/>
  <c r="AC72"/>
  <c r="AA52"/>
  <c r="AC49"/>
  <c r="V55"/>
  <c r="S74"/>
  <c r="Y71"/>
  <c r="V58"/>
  <c r="AC55"/>
  <c r="V49"/>
  <c r="M49"/>
  <c r="Y62"/>
  <c r="M52"/>
  <c r="V52"/>
  <c r="P57"/>
  <c r="J61"/>
  <c r="S49"/>
  <c r="Y49"/>
  <c r="Y52"/>
  <c r="S52"/>
  <c r="V56"/>
  <c r="Y57"/>
  <c r="AA49"/>
  <c r="AC52"/>
  <c r="S57"/>
  <c r="V62"/>
  <c r="AA65"/>
  <c r="AC57"/>
  <c r="J72"/>
  <c r="M75"/>
  <c r="P54"/>
  <c r="J53"/>
  <c r="V57"/>
  <c r="AC65"/>
  <c r="Y63"/>
  <c r="M60"/>
  <c r="AA62"/>
  <c r="M70"/>
  <c r="V65"/>
  <c r="P53"/>
  <c r="V60"/>
  <c r="J62"/>
  <c r="P62"/>
  <c r="S65"/>
  <c r="Y65"/>
  <c r="S63"/>
  <c r="S62"/>
  <c r="P65"/>
  <c r="J65"/>
  <c r="M65"/>
  <c r="AA70"/>
  <c r="V75"/>
  <c r="M64"/>
  <c r="B64" i="11"/>
  <c r="A64" s="1"/>
  <c r="J74" i="15"/>
  <c r="AC70"/>
  <c r="P77"/>
  <c r="V71"/>
  <c r="P75"/>
  <c r="P72"/>
  <c r="V64"/>
  <c r="J73"/>
  <c r="J67"/>
  <c r="J60"/>
  <c r="V63"/>
  <c r="AC51"/>
  <c r="AC69"/>
  <c r="AA66"/>
  <c r="J59"/>
  <c r="AC58"/>
  <c r="J55"/>
  <c r="P56"/>
  <c r="AC53"/>
  <c r="V50"/>
  <c r="J54"/>
  <c r="J48"/>
  <c r="M74"/>
  <c r="AA74"/>
  <c r="S67"/>
  <c r="Y67"/>
  <c r="AA71"/>
  <c r="AC71"/>
  <c r="M66"/>
  <c r="V66"/>
  <c r="J58"/>
  <c r="M58"/>
  <c r="Y59"/>
  <c r="AA59"/>
  <c r="P55"/>
  <c r="S55"/>
  <c r="Y48"/>
  <c r="S48"/>
  <c r="Y77"/>
  <c r="S77"/>
  <c r="Y73"/>
  <c r="P73"/>
  <c r="M69"/>
  <c r="V69"/>
  <c r="S72"/>
  <c r="V72"/>
  <c r="Y60"/>
  <c r="P60"/>
  <c r="AC50"/>
  <c r="AA50"/>
  <c r="Y75"/>
  <c r="S75"/>
  <c r="AA63"/>
  <c r="AC63"/>
  <c r="Y70"/>
  <c r="S70"/>
  <c r="V51"/>
  <c r="M51"/>
  <c r="J56"/>
  <c r="Y56"/>
  <c r="V53"/>
  <c r="M53"/>
  <c r="Y54"/>
  <c r="AC74"/>
  <c r="P74"/>
  <c r="AA67"/>
  <c r="AC67"/>
  <c r="S71"/>
  <c r="J71"/>
  <c r="Y66"/>
  <c r="S66"/>
  <c r="S58"/>
  <c r="Y58"/>
  <c r="M59"/>
  <c r="P59"/>
  <c r="Y55"/>
  <c r="AA55"/>
  <c r="AC48"/>
  <c r="AA48"/>
  <c r="AC77"/>
  <c r="AA77"/>
  <c r="AA73"/>
  <c r="AC73"/>
  <c r="S69"/>
  <c r="Y69"/>
  <c r="Y72"/>
  <c r="AA72"/>
  <c r="S60"/>
  <c r="AC60"/>
  <c r="P50"/>
  <c r="J50"/>
  <c r="AC75"/>
  <c r="AA75"/>
  <c r="P63"/>
  <c r="J63"/>
  <c r="J70"/>
  <c r="P70"/>
  <c r="S51"/>
  <c r="Y51"/>
  <c r="S56"/>
  <c r="AC56"/>
  <c r="S53"/>
  <c r="Y53"/>
  <c r="Y74"/>
  <c r="P67"/>
  <c r="M71"/>
  <c r="AC66"/>
  <c r="AA58"/>
  <c r="AC59"/>
  <c r="M55"/>
  <c r="P48"/>
  <c r="J77"/>
  <c r="S73"/>
  <c r="AA69"/>
  <c r="M72"/>
  <c r="AA60"/>
  <c r="M50"/>
  <c r="J75"/>
  <c r="M63"/>
  <c r="V70"/>
  <c r="AA51"/>
  <c r="AA56"/>
  <c r="AA53"/>
  <c r="P64"/>
  <c r="AA54"/>
  <c r="Y64"/>
  <c r="S64"/>
  <c r="M54"/>
  <c r="V54"/>
  <c r="AC64"/>
  <c r="AA64"/>
  <c r="S54"/>
  <c r="J64"/>
  <c r="AC54"/>
  <c r="AA61"/>
  <c r="M61"/>
  <c r="S61"/>
  <c r="Y61"/>
  <c r="AC61"/>
  <c r="P61"/>
  <c r="B209" i="14"/>
  <c r="D209" s="1"/>
  <c r="B208"/>
  <c r="D208" s="1"/>
  <c r="B214"/>
  <c r="D214" s="1"/>
  <c r="B213"/>
  <c r="D213" s="1"/>
  <c r="B199"/>
  <c r="D199" s="1"/>
  <c r="B198"/>
  <c r="D198" s="1"/>
  <c r="B271" i="11"/>
  <c r="B270"/>
  <c r="B261"/>
  <c r="B276"/>
  <c r="B275"/>
  <c r="D236"/>
  <c r="D221"/>
  <c r="I54" i="7"/>
  <c r="B233" s="1"/>
  <c r="D233" s="1"/>
  <c r="B214" i="11"/>
  <c r="D214" s="1"/>
  <c r="B215"/>
  <c r="D215" s="1"/>
  <c r="B230"/>
  <c r="D230" s="1"/>
  <c r="B229"/>
  <c r="D229" s="1"/>
  <c r="B224"/>
  <c r="D224" s="1"/>
  <c r="B225"/>
  <c r="D225" s="1"/>
  <c r="D118" i="7"/>
  <c r="B198" i="1"/>
  <c r="D198" s="1"/>
  <c r="D200" s="1"/>
  <c r="B223" i="7"/>
  <c r="D223" s="1"/>
  <c r="B214" i="1"/>
  <c r="D214" s="1"/>
  <c r="D213"/>
  <c r="B229" i="7"/>
  <c r="D229" s="1"/>
  <c r="D228"/>
  <c r="B219"/>
  <c r="D219" s="1"/>
  <c r="D218"/>
  <c r="D213"/>
  <c r="B214"/>
  <c r="D214" s="1"/>
  <c r="D208"/>
  <c r="H2" i="8"/>
  <c r="V78"/>
  <c r="J78"/>
  <c r="S78"/>
  <c r="P76"/>
  <c r="M78"/>
  <c r="Y78"/>
  <c r="V76"/>
  <c r="AA76"/>
  <c r="AA78"/>
  <c r="M76"/>
  <c r="AC78"/>
  <c r="P78"/>
  <c r="J76"/>
  <c r="AC76"/>
  <c r="Y76"/>
  <c r="S76"/>
  <c r="B209" i="1"/>
  <c r="D209" s="1"/>
  <c r="D208"/>
  <c r="K78" i="6" l="1"/>
  <c r="D8" i="1"/>
  <c r="C8"/>
  <c r="C7" i="15"/>
  <c r="D7"/>
  <c r="G7" i="6"/>
  <c r="I7"/>
  <c r="F7"/>
  <c r="D8" i="21" s="1"/>
  <c r="B223" s="1"/>
  <c r="D223" s="1"/>
  <c r="D224" s="1"/>
  <c r="D115" s="1"/>
  <c r="H7" i="6"/>
  <c r="F97" i="22"/>
  <c r="E62" i="1" s="1"/>
  <c r="AB77" i="6"/>
  <c r="AB55"/>
  <c r="AB63"/>
  <c r="AB53"/>
  <c r="AB61"/>
  <c r="AB67"/>
  <c r="AB75"/>
  <c r="AB59"/>
  <c r="AB48"/>
  <c r="AB57"/>
  <c r="AB71"/>
  <c r="AB64"/>
  <c r="AB49"/>
  <c r="AB52"/>
  <c r="AB68"/>
  <c r="AB62"/>
  <c r="AB51"/>
  <c r="AB54"/>
  <c r="AB69"/>
  <c r="AB56"/>
  <c r="AB50"/>
  <c r="AB70"/>
  <c r="AB60"/>
  <c r="AB74"/>
  <c r="AB73"/>
  <c r="AB72"/>
  <c r="AB66"/>
  <c r="AB65"/>
  <c r="AB58"/>
  <c r="C43" i="15"/>
  <c r="I62" i="21"/>
  <c r="I166" s="1"/>
  <c r="AC4" i="1" s="1"/>
  <c r="J97" i="22"/>
  <c r="I62" i="1" s="1"/>
  <c r="G62" i="21"/>
  <c r="G166" s="1"/>
  <c r="AA4" i="1" s="1"/>
  <c r="H97" i="22"/>
  <c r="G62" i="1" s="1"/>
  <c r="H62" i="21"/>
  <c r="H166" s="1"/>
  <c r="AB4" i="1" s="1"/>
  <c r="I97" i="22"/>
  <c r="H62" i="1" s="1"/>
  <c r="F208" i="6"/>
  <c r="G97" i="22"/>
  <c r="F62" i="1" s="1"/>
  <c r="B192" i="6"/>
  <c r="C209" s="1"/>
  <c r="E208"/>
  <c r="D118" i="1"/>
  <c r="F62" i="21"/>
  <c r="F166" s="1"/>
  <c r="Z4" i="1" s="1"/>
  <c r="D207" i="15"/>
  <c r="D208" s="1"/>
  <c r="D209" s="1"/>
  <c r="D210" s="1"/>
  <c r="D213" i="6"/>
  <c r="D214" s="1"/>
  <c r="D191" s="1"/>
  <c r="D207" i="8"/>
  <c r="D208" s="1"/>
  <c r="D209" s="1"/>
  <c r="D210" s="1"/>
  <c r="E62" i="21"/>
  <c r="E166" s="1"/>
  <c r="Y4" i="1" s="1"/>
  <c r="Q78" i="6"/>
  <c r="W78" s="1"/>
  <c r="X78" s="1"/>
  <c r="Q76"/>
  <c r="W76" s="1"/>
  <c r="Q65"/>
  <c r="W65" s="1"/>
  <c r="Q73"/>
  <c r="W73" s="1"/>
  <c r="Q74"/>
  <c r="W74" s="1"/>
  <c r="Q59"/>
  <c r="W59" s="1"/>
  <c r="Q57"/>
  <c r="W57" s="1"/>
  <c r="Q61"/>
  <c r="W61" s="1"/>
  <c r="Q63"/>
  <c r="W63" s="1"/>
  <c r="Q75"/>
  <c r="W75" s="1"/>
  <c r="Q67"/>
  <c r="W67" s="1"/>
  <c r="Q58"/>
  <c r="W58" s="1"/>
  <c r="Q50"/>
  <c r="W50" s="1"/>
  <c r="Q54"/>
  <c r="W54" s="1"/>
  <c r="Q77"/>
  <c r="W77" s="1"/>
  <c r="Q53"/>
  <c r="W53" s="1"/>
  <c r="Q72"/>
  <c r="W72" s="1"/>
  <c r="Q70"/>
  <c r="W70" s="1"/>
  <c r="Q64"/>
  <c r="W64" s="1"/>
  <c r="Q55"/>
  <c r="W55" s="1"/>
  <c r="Q49"/>
  <c r="W49" s="1"/>
  <c r="Q62"/>
  <c r="W62" s="1"/>
  <c r="Q51"/>
  <c r="W51" s="1"/>
  <c r="Q68"/>
  <c r="W68" s="1"/>
  <c r="Q52"/>
  <c r="W52" s="1"/>
  <c r="Q48"/>
  <c r="W48" s="1"/>
  <c r="Q66"/>
  <c r="W66" s="1"/>
  <c r="Q56"/>
  <c r="W56" s="1"/>
  <c r="Q71"/>
  <c r="W71" s="1"/>
  <c r="Q69"/>
  <c r="W69" s="1"/>
  <c r="Q60"/>
  <c r="W60" s="1"/>
  <c r="Z60"/>
  <c r="Z50"/>
  <c r="Z75"/>
  <c r="Z76"/>
  <c r="U76" s="1"/>
  <c r="Z68"/>
  <c r="Z51"/>
  <c r="Z48"/>
  <c r="Z59"/>
  <c r="Z53"/>
  <c r="U53" s="1"/>
  <c r="Z63"/>
  <c r="U63" s="1"/>
  <c r="Z62"/>
  <c r="Z54"/>
  <c r="Z64"/>
  <c r="Z67"/>
  <c r="Z69"/>
  <c r="Z72"/>
  <c r="Z55"/>
  <c r="Z70"/>
  <c r="Z74"/>
  <c r="U74" s="1"/>
  <c r="Z65"/>
  <c r="Z77"/>
  <c r="Z58"/>
  <c r="Z52"/>
  <c r="U52" s="1"/>
  <c r="Z57"/>
  <c r="Z56"/>
  <c r="Z66"/>
  <c r="Z49"/>
  <c r="Z61"/>
  <c r="Z73"/>
  <c r="Z71"/>
  <c r="D195" i="1"/>
  <c r="D116" s="1"/>
  <c r="H21" i="8"/>
  <c r="H22" s="1"/>
  <c r="H9" i="7" s="1"/>
  <c r="A24" i="20"/>
  <c r="K24" i="1" s="1"/>
  <c r="L24"/>
  <c r="K76" i="6"/>
  <c r="N76" s="1"/>
  <c r="K57"/>
  <c r="N57" s="1"/>
  <c r="K58"/>
  <c r="N58" s="1"/>
  <c r="K74"/>
  <c r="N74" s="1"/>
  <c r="K54"/>
  <c r="N54" s="1"/>
  <c r="K51"/>
  <c r="K60"/>
  <c r="N60" s="1"/>
  <c r="K59"/>
  <c r="N59" s="1"/>
  <c r="K50"/>
  <c r="K72"/>
  <c r="N72" s="1"/>
  <c r="K67"/>
  <c r="K62"/>
  <c r="N62" s="1"/>
  <c r="K49"/>
  <c r="N49" s="1"/>
  <c r="K70"/>
  <c r="N70" s="1"/>
  <c r="K56"/>
  <c r="N56" s="1"/>
  <c r="O56" s="1"/>
  <c r="K75"/>
  <c r="K65"/>
  <c r="K55"/>
  <c r="K68"/>
  <c r="K52"/>
  <c r="N52" s="1"/>
  <c r="K61"/>
  <c r="N61" s="1"/>
  <c r="K48"/>
  <c r="N48" s="1"/>
  <c r="K64"/>
  <c r="K69"/>
  <c r="K53"/>
  <c r="N53" s="1"/>
  <c r="K77"/>
  <c r="N77" s="1"/>
  <c r="K73"/>
  <c r="N73" s="1"/>
  <c r="K66"/>
  <c r="K71"/>
  <c r="E114" i="21"/>
  <c r="F22" i="22"/>
  <c r="F23" i="8"/>
  <c r="F111" s="1"/>
  <c r="I21"/>
  <c r="I22" s="1"/>
  <c r="I9" i="7" s="1"/>
  <c r="I21" i="15"/>
  <c r="I23" i="6"/>
  <c r="I26" s="1"/>
  <c r="I22"/>
  <c r="H23"/>
  <c r="H111" s="1"/>
  <c r="H22"/>
  <c r="H21" i="15"/>
  <c r="G23" i="6"/>
  <c r="G26" s="1"/>
  <c r="G22"/>
  <c r="G21" i="15"/>
  <c r="G21" i="8"/>
  <c r="F22" i="6"/>
  <c r="F9" i="19" s="1"/>
  <c r="F21" i="15"/>
  <c r="D244" i="21"/>
  <c r="D239"/>
  <c r="D229"/>
  <c r="D117"/>
  <c r="H114"/>
  <c r="I19"/>
  <c r="I15"/>
  <c r="F19"/>
  <c r="F15"/>
  <c r="G15"/>
  <c r="G19"/>
  <c r="G114"/>
  <c r="I114"/>
  <c r="I115" s="1"/>
  <c r="F114"/>
  <c r="F115" s="1"/>
  <c r="H19"/>
  <c r="H15"/>
  <c r="E15"/>
  <c r="D19" i="19"/>
  <c r="D19" i="1"/>
  <c r="E36" i="22" s="1"/>
  <c r="D19" i="14"/>
  <c r="D19" i="16"/>
  <c r="C9" i="19"/>
  <c r="C7" i="20"/>
  <c r="M7" i="1" s="1"/>
  <c r="H62" i="19"/>
  <c r="F62"/>
  <c r="F115"/>
  <c r="F116" s="1"/>
  <c r="E62"/>
  <c r="I62"/>
  <c r="G62"/>
  <c r="E115"/>
  <c r="F9" i="7"/>
  <c r="D210" i="19"/>
  <c r="D215"/>
  <c r="D200"/>
  <c r="D118"/>
  <c r="F19" i="1"/>
  <c r="G36" i="22" s="1"/>
  <c r="E34" i="15"/>
  <c r="E135" i="11" s="1"/>
  <c r="D113" i="8"/>
  <c r="H19" i="19"/>
  <c r="H15"/>
  <c r="I19"/>
  <c r="I15"/>
  <c r="G19"/>
  <c r="G15"/>
  <c r="G115"/>
  <c r="H115"/>
  <c r="I115"/>
  <c r="I116" s="1"/>
  <c r="E15"/>
  <c r="F19"/>
  <c r="F15"/>
  <c r="N78" i="6"/>
  <c r="O78" s="1"/>
  <c r="F19" i="14"/>
  <c r="F34" i="8"/>
  <c r="F115" i="7" s="1"/>
  <c r="G10" i="17"/>
  <c r="AK10" i="1" s="1"/>
  <c r="F62" i="16"/>
  <c r="I62" i="14"/>
  <c r="G62" i="16"/>
  <c r="E10" i="17"/>
  <c r="AI10" i="1" s="1"/>
  <c r="F10" i="17"/>
  <c r="AJ10" i="1" s="1"/>
  <c r="E22" i="6"/>
  <c r="E9" i="21" s="1"/>
  <c r="F12" i="6"/>
  <c r="F13" s="1"/>
  <c r="F14" s="1"/>
  <c r="F25" s="1"/>
  <c r="F26"/>
  <c r="E92" i="8"/>
  <c r="C23"/>
  <c r="R80" s="1"/>
  <c r="G34"/>
  <c r="G19" i="14"/>
  <c r="G92" i="8"/>
  <c r="C12" i="6"/>
  <c r="C13" s="1"/>
  <c r="G15" i="1"/>
  <c r="H38" i="22" s="1"/>
  <c r="H40" s="1"/>
  <c r="I115" i="1"/>
  <c r="I116" s="1"/>
  <c r="F115"/>
  <c r="F116" s="1"/>
  <c r="F15"/>
  <c r="G38" i="22" s="1"/>
  <c r="G40" s="1"/>
  <c r="I151" i="6"/>
  <c r="E115" i="14"/>
  <c r="E15"/>
  <c r="F15"/>
  <c r="F151" i="6"/>
  <c r="F115" i="14"/>
  <c r="F116" s="1"/>
  <c r="F15" i="16"/>
  <c r="F19"/>
  <c r="E115"/>
  <c r="E15"/>
  <c r="I115" i="14"/>
  <c r="I116" s="1"/>
  <c r="G24" i="8"/>
  <c r="G100"/>
  <c r="I24"/>
  <c r="G115" i="1"/>
  <c r="G19" i="16"/>
  <c r="D12" i="6"/>
  <c r="D13" s="1"/>
  <c r="D25" s="1"/>
  <c r="H12"/>
  <c r="H13" s="1"/>
  <c r="H14" s="1"/>
  <c r="G12"/>
  <c r="G13" s="1"/>
  <c r="G14" s="1"/>
  <c r="E12"/>
  <c r="E13" s="1"/>
  <c r="E14" s="1"/>
  <c r="E25" s="1"/>
  <c r="I34" i="15"/>
  <c r="I19" i="11" s="1"/>
  <c r="F115" i="16"/>
  <c r="F116" s="1"/>
  <c r="I19"/>
  <c r="F24" i="8"/>
  <c r="I92" i="15"/>
  <c r="B7" i="8"/>
  <c r="F7" s="1"/>
  <c r="D8" i="7" s="1"/>
  <c r="B209" s="1"/>
  <c r="D209" s="1"/>
  <c r="D210" s="1"/>
  <c r="D116" s="1"/>
  <c r="F92" i="15"/>
  <c r="K18" i="8"/>
  <c r="E26" i="6"/>
  <c r="I100" i="15"/>
  <c r="F100"/>
  <c r="H100" i="8"/>
  <c r="I24" i="15"/>
  <c r="B7"/>
  <c r="G15" i="16"/>
  <c r="G34" i="15"/>
  <c r="I92" i="8"/>
  <c r="G19" i="1"/>
  <c r="H36" i="22" s="1"/>
  <c r="G115" i="14"/>
  <c r="G151" i="6"/>
  <c r="G15" i="14"/>
  <c r="G115" i="16"/>
  <c r="G190" i="15"/>
  <c r="G67" i="11" s="1"/>
  <c r="E43" i="15"/>
  <c r="D23"/>
  <c r="D100"/>
  <c r="D19" i="11" s="1"/>
  <c r="D24" i="15"/>
  <c r="C24"/>
  <c r="C22"/>
  <c r="C9" i="11" s="1"/>
  <c r="C23" i="15"/>
  <c r="C111" s="1"/>
  <c r="D215" i="16"/>
  <c r="D24" i="8"/>
  <c r="C22"/>
  <c r="C9" i="7" s="1"/>
  <c r="D23" i="8"/>
  <c r="D111" s="1"/>
  <c r="C24"/>
  <c r="B234" i="7"/>
  <c r="D234" s="1"/>
  <c r="D235" s="1"/>
  <c r="D26" i="6"/>
  <c r="C26"/>
  <c r="C25"/>
  <c r="E21" i="15"/>
  <c r="F34"/>
  <c r="F100" i="8"/>
  <c r="H92"/>
  <c r="AD79" i="6"/>
  <c r="U78"/>
  <c r="I19" i="1"/>
  <c r="J36" i="22" s="1"/>
  <c r="I34" i="8"/>
  <c r="I150" s="1"/>
  <c r="I19" i="14"/>
  <c r="I115" i="16"/>
  <c r="I116" s="1"/>
  <c r="I15" i="1"/>
  <c r="J38" i="22" s="1"/>
  <c r="J40" s="1"/>
  <c r="I15" i="14"/>
  <c r="G92" i="15"/>
  <c r="I15" i="16"/>
  <c r="L80" i="6"/>
  <c r="R80"/>
  <c r="AD80"/>
  <c r="Z80"/>
  <c r="O80"/>
  <c r="C111"/>
  <c r="AB80"/>
  <c r="X80"/>
  <c r="U80"/>
  <c r="C9" i="14"/>
  <c r="C9" i="16"/>
  <c r="C8" i="13"/>
  <c r="C9" i="1"/>
  <c r="C8" i="17" s="1"/>
  <c r="AG8" i="1" s="1"/>
  <c r="D113" i="15"/>
  <c r="D22"/>
  <c r="C130"/>
  <c r="G62" i="14"/>
  <c r="G190" i="8"/>
  <c r="F62" i="14"/>
  <c r="I62" i="16"/>
  <c r="I190" i="8"/>
  <c r="I62" i="7" s="1"/>
  <c r="I190" i="15"/>
  <c r="I67" i="11" s="1"/>
  <c r="D210" i="16"/>
  <c r="D200"/>
  <c r="F24" i="15"/>
  <c r="G100"/>
  <c r="F190"/>
  <c r="F67" i="11" s="1"/>
  <c r="D215" i="14"/>
  <c r="H15"/>
  <c r="E24" i="15"/>
  <c r="E100"/>
  <c r="AC76"/>
  <c r="AD76" s="1"/>
  <c r="F190" i="8"/>
  <c r="H15" i="1"/>
  <c r="I38" i="22" s="1"/>
  <c r="I40" s="1"/>
  <c r="AA78" i="15"/>
  <c r="AB78" s="1"/>
  <c r="Y76"/>
  <c r="H62" i="14"/>
  <c r="M76" i="15"/>
  <c r="AC78"/>
  <c r="C8" i="21"/>
  <c r="K18" i="15"/>
  <c r="H62" i="16"/>
  <c r="H34" i="15"/>
  <c r="H150" s="1"/>
  <c r="E62" i="16"/>
  <c r="C219" i="15"/>
  <c r="C221" s="1"/>
  <c r="H92"/>
  <c r="H100"/>
  <c r="H190"/>
  <c r="E62" i="14"/>
  <c r="E190" i="8"/>
  <c r="E62" i="7" s="1"/>
  <c r="E190" i="15"/>
  <c r="H115" i="1"/>
  <c r="S76" i="15"/>
  <c r="T76" s="1"/>
  <c r="P78"/>
  <c r="J78"/>
  <c r="P76"/>
  <c r="H15" i="16"/>
  <c r="H19" i="1"/>
  <c r="I36" i="22" s="1"/>
  <c r="H2" i="15"/>
  <c r="M78"/>
  <c r="V78"/>
  <c r="AA76"/>
  <c r="AB76" s="1"/>
  <c r="H19" i="16"/>
  <c r="H115"/>
  <c r="H190" i="8"/>
  <c r="H34"/>
  <c r="H150" s="1"/>
  <c r="H19" i="14"/>
  <c r="H115"/>
  <c r="V76" i="15"/>
  <c r="S78"/>
  <c r="T78" s="1"/>
  <c r="Y78"/>
  <c r="Z78" s="1"/>
  <c r="H151" i="6"/>
  <c r="D200" i="14"/>
  <c r="D210"/>
  <c r="D216" i="11"/>
  <c r="D226"/>
  <c r="D231"/>
  <c r="B224" i="7"/>
  <c r="D224" s="1"/>
  <c r="D225" s="1"/>
  <c r="D215" i="1"/>
  <c r="D230" i="7"/>
  <c r="K8" i="6"/>
  <c r="D215" i="7"/>
  <c r="E34" i="8"/>
  <c r="D220" i="7"/>
  <c r="E115" i="1"/>
  <c r="E116" s="1"/>
  <c r="E15"/>
  <c r="F38" i="22" s="1"/>
  <c r="D9" i="7"/>
  <c r="D201" i="8"/>
  <c r="E151" i="6"/>
  <c r="E22" i="8"/>
  <c r="E111"/>
  <c r="E26"/>
  <c r="E12"/>
  <c r="E13" s="1"/>
  <c r="E14" s="1"/>
  <c r="H12"/>
  <c r="H13" s="1"/>
  <c r="H14" s="1"/>
  <c r="G12"/>
  <c r="G13" s="1"/>
  <c r="G14" s="1"/>
  <c r="I12"/>
  <c r="I13" s="1"/>
  <c r="I14" s="1"/>
  <c r="C12"/>
  <c r="C13" s="1"/>
  <c r="F12"/>
  <c r="F13" s="1"/>
  <c r="F14" s="1"/>
  <c r="D12"/>
  <c r="D13" s="1"/>
  <c r="D210" i="1"/>
  <c r="F7" i="15" l="1"/>
  <c r="D8" i="11" s="1"/>
  <c r="G7" i="15"/>
  <c r="I7"/>
  <c r="H7"/>
  <c r="E7"/>
  <c r="I25" i="6"/>
  <c r="O57"/>
  <c r="AB79"/>
  <c r="O73"/>
  <c r="O49"/>
  <c r="U73"/>
  <c r="U77"/>
  <c r="U48"/>
  <c r="U68"/>
  <c r="U65"/>
  <c r="B62" i="21"/>
  <c r="A62" s="1"/>
  <c r="D211" i="8"/>
  <c r="D212" s="1"/>
  <c r="R78" i="6"/>
  <c r="L78"/>
  <c r="X67"/>
  <c r="Q76" i="15"/>
  <c r="W76" s="1"/>
  <c r="O48" i="6"/>
  <c r="R76"/>
  <c r="X64"/>
  <c r="R63"/>
  <c r="X51"/>
  <c r="R68"/>
  <c r="O53"/>
  <c r="L50"/>
  <c r="X49"/>
  <c r="X68"/>
  <c r="R53"/>
  <c r="O70"/>
  <c r="L64"/>
  <c r="L68"/>
  <c r="O58"/>
  <c r="X50"/>
  <c r="R77"/>
  <c r="X75"/>
  <c r="R52"/>
  <c r="L75"/>
  <c r="L63"/>
  <c r="R74"/>
  <c r="L51"/>
  <c r="R73"/>
  <c r="X70"/>
  <c r="O77"/>
  <c r="L55"/>
  <c r="O72"/>
  <c r="X58"/>
  <c r="O63"/>
  <c r="L65"/>
  <c r="O54"/>
  <c r="X53"/>
  <c r="X63"/>
  <c r="Z76" i="15"/>
  <c r="O60" i="6"/>
  <c r="X60"/>
  <c r="R65"/>
  <c r="O59"/>
  <c r="X73"/>
  <c r="X66"/>
  <c r="X65"/>
  <c r="X77"/>
  <c r="R56"/>
  <c r="U56"/>
  <c r="R69"/>
  <c r="U69"/>
  <c r="R54"/>
  <c r="U54"/>
  <c r="U59"/>
  <c r="R59"/>
  <c r="R60"/>
  <c r="U60"/>
  <c r="Z79"/>
  <c r="G19" i="11"/>
  <c r="L67" i="6"/>
  <c r="X62"/>
  <c r="X57"/>
  <c r="X54"/>
  <c r="R61"/>
  <c r="U61"/>
  <c r="U67"/>
  <c r="R67"/>
  <c r="R71"/>
  <c r="U71"/>
  <c r="U66"/>
  <c r="R66"/>
  <c r="R55"/>
  <c r="U55"/>
  <c r="U72"/>
  <c r="R72"/>
  <c r="R50"/>
  <c r="U50"/>
  <c r="X74"/>
  <c r="X76"/>
  <c r="O52"/>
  <c r="O62"/>
  <c r="O74"/>
  <c r="X52"/>
  <c r="X59"/>
  <c r="X55"/>
  <c r="U57"/>
  <c r="R57"/>
  <c r="U62"/>
  <c r="R62"/>
  <c r="U49"/>
  <c r="R49"/>
  <c r="U58"/>
  <c r="R58"/>
  <c r="R70"/>
  <c r="U70"/>
  <c r="R64"/>
  <c r="U64"/>
  <c r="U51"/>
  <c r="R51"/>
  <c r="U75"/>
  <c r="R75"/>
  <c r="X61"/>
  <c r="G19" i="7"/>
  <c r="X48" i="6"/>
  <c r="O61"/>
  <c r="O76"/>
  <c r="R48"/>
  <c r="X69"/>
  <c r="X71"/>
  <c r="X56"/>
  <c r="X72"/>
  <c r="E9" i="16"/>
  <c r="C97" i="22"/>
  <c r="A155" s="1"/>
  <c r="F26" i="8"/>
  <c r="H23"/>
  <c r="H26" s="1"/>
  <c r="G25" i="6"/>
  <c r="G27" s="1"/>
  <c r="G28" s="1"/>
  <c r="G29" s="1"/>
  <c r="G30" s="1"/>
  <c r="G31" s="1"/>
  <c r="G32" s="1"/>
  <c r="G33" s="1"/>
  <c r="G95" s="1"/>
  <c r="L76"/>
  <c r="L58"/>
  <c r="N67"/>
  <c r="O67" s="1"/>
  <c r="N75"/>
  <c r="O75" s="1"/>
  <c r="L57"/>
  <c r="N51"/>
  <c r="O51" s="1"/>
  <c r="L72"/>
  <c r="N68"/>
  <c r="O68" s="1"/>
  <c r="L60"/>
  <c r="L74"/>
  <c r="L62"/>
  <c r="L56"/>
  <c r="L54"/>
  <c r="L48"/>
  <c r="L77"/>
  <c r="L59"/>
  <c r="L52"/>
  <c r="N50"/>
  <c r="O50" s="1"/>
  <c r="N64"/>
  <c r="O64" s="1"/>
  <c r="N65"/>
  <c r="O65" s="1"/>
  <c r="L61"/>
  <c r="L49"/>
  <c r="L53"/>
  <c r="N55"/>
  <c r="O55" s="1"/>
  <c r="L70"/>
  <c r="L69"/>
  <c r="N69"/>
  <c r="O69" s="1"/>
  <c r="N66"/>
  <c r="O66" s="1"/>
  <c r="L66"/>
  <c r="N71"/>
  <c r="O71" s="1"/>
  <c r="L71"/>
  <c r="L73"/>
  <c r="H115" i="21"/>
  <c r="K78" i="15"/>
  <c r="N78" s="1"/>
  <c r="O78" s="1"/>
  <c r="I23" i="8"/>
  <c r="I25" s="1"/>
  <c r="H25" i="6"/>
  <c r="H26"/>
  <c r="E115" i="21"/>
  <c r="B127" i="22"/>
  <c r="E127" s="1"/>
  <c r="C38"/>
  <c r="AD78" i="15"/>
  <c r="U78" s="1"/>
  <c r="AD49" i="8"/>
  <c r="AD51"/>
  <c r="AD51" i="15"/>
  <c r="AD64"/>
  <c r="I9" i="16"/>
  <c r="I9" i="21"/>
  <c r="I7" i="20"/>
  <c r="S7" i="1" s="1"/>
  <c r="I9" i="14"/>
  <c r="I9" i="1"/>
  <c r="I9" i="19"/>
  <c r="I8" i="13"/>
  <c r="AD54" i="8"/>
  <c r="AD57" i="15"/>
  <c r="AD66"/>
  <c r="AD48" i="8"/>
  <c r="AD71"/>
  <c r="AD55" i="15"/>
  <c r="AD77"/>
  <c r="AD53" i="8"/>
  <c r="AD68" i="15"/>
  <c r="AD60"/>
  <c r="AD57" i="8"/>
  <c r="AD75"/>
  <c r="AD58" i="15"/>
  <c r="AD54"/>
  <c r="I111" i="6"/>
  <c r="AD70" i="8"/>
  <c r="AD73"/>
  <c r="AD69" i="15"/>
  <c r="I23"/>
  <c r="I26" s="1"/>
  <c r="I22"/>
  <c r="I9" i="11" s="1"/>
  <c r="AD67" i="8"/>
  <c r="AD59"/>
  <c r="AD70" i="15"/>
  <c r="AD75"/>
  <c r="AD69" i="8"/>
  <c r="AD77"/>
  <c r="AD65" i="15"/>
  <c r="AD56"/>
  <c r="H9" i="14"/>
  <c r="H9" i="21"/>
  <c r="H7" i="20"/>
  <c r="R7" i="1" s="1"/>
  <c r="H9"/>
  <c r="H8" i="13"/>
  <c r="H9" i="16"/>
  <c r="H9" i="19"/>
  <c r="AD52" i="8"/>
  <c r="AD63"/>
  <c r="AD63" i="15"/>
  <c r="AD76" i="8"/>
  <c r="AD50"/>
  <c r="AD55"/>
  <c r="AD60"/>
  <c r="AD67" i="15"/>
  <c r="AD66" i="8"/>
  <c r="AD72"/>
  <c r="AD62" i="15"/>
  <c r="AD71"/>
  <c r="AD78" i="8"/>
  <c r="AD65"/>
  <c r="AD62"/>
  <c r="AD53" i="15"/>
  <c r="AD59"/>
  <c r="AD74" i="8"/>
  <c r="AD49" i="15"/>
  <c r="AD48"/>
  <c r="AD58" i="8"/>
  <c r="AD61"/>
  <c r="AD52" i="15"/>
  <c r="AD73"/>
  <c r="AD56" i="8"/>
  <c r="AD72" i="15"/>
  <c r="AD74"/>
  <c r="AD68" i="8"/>
  <c r="AD64"/>
  <c r="AD50" i="15"/>
  <c r="AD61"/>
  <c r="AB59" i="8"/>
  <c r="AB71"/>
  <c r="AB70" i="15"/>
  <c r="AB73"/>
  <c r="AB53"/>
  <c r="AB66"/>
  <c r="AB70" i="8"/>
  <c r="AB48"/>
  <c r="AB57" i="15"/>
  <c r="AB53" i="8"/>
  <c r="AB60"/>
  <c r="AB61"/>
  <c r="AB52"/>
  <c r="AB63" i="15"/>
  <c r="AB51"/>
  <c r="AB66" i="8"/>
  <c r="AB65"/>
  <c r="AB59" i="15"/>
  <c r="AB69"/>
  <c r="AB64"/>
  <c r="H22"/>
  <c r="H9" i="11" s="1"/>
  <c r="H23" i="15"/>
  <c r="H26" s="1"/>
  <c r="AB55" i="8"/>
  <c r="AB69"/>
  <c r="AB74" i="15"/>
  <c r="AB54" i="8"/>
  <c r="AB67"/>
  <c r="AB49"/>
  <c r="AB75"/>
  <c r="AB55" i="15"/>
  <c r="AB54"/>
  <c r="AB74" i="8"/>
  <c r="AB49" i="15"/>
  <c r="AB50"/>
  <c r="AB56"/>
  <c r="AB61"/>
  <c r="AB50" i="8"/>
  <c r="AB64"/>
  <c r="AB71" i="15"/>
  <c r="AB58"/>
  <c r="AB72" i="8"/>
  <c r="AB51"/>
  <c r="AB68"/>
  <c r="AB68" i="15"/>
  <c r="AB77"/>
  <c r="AB76" i="8"/>
  <c r="AB62"/>
  <c r="AB57"/>
  <c r="AB65" i="15"/>
  <c r="AB67"/>
  <c r="AB78" i="8"/>
  <c r="AB62" i="15"/>
  <c r="AB77" i="8"/>
  <c r="AB48" i="15"/>
  <c r="AB60"/>
  <c r="AB56" i="8"/>
  <c r="AB63"/>
  <c r="AB58"/>
  <c r="AB73"/>
  <c r="AB52" i="15"/>
  <c r="AB75"/>
  <c r="AB72"/>
  <c r="G22" i="8"/>
  <c r="G9" i="7" s="1"/>
  <c r="G23" i="8"/>
  <c r="G26" s="1"/>
  <c r="Z50"/>
  <c r="Z66"/>
  <c r="Z68" i="15"/>
  <c r="Z48"/>
  <c r="G9" i="16"/>
  <c r="G9" i="1"/>
  <c r="G8" i="17" s="1"/>
  <c r="AK8" i="1" s="1"/>
  <c r="G9" i="19"/>
  <c r="G9" i="21"/>
  <c r="G7" i="20"/>
  <c r="Q7" i="1" s="1"/>
  <c r="G8" i="13"/>
  <c r="G9" i="14"/>
  <c r="Z72" i="8"/>
  <c r="Z65"/>
  <c r="Z63" i="15"/>
  <c r="Z69" i="8"/>
  <c r="Z74"/>
  <c r="Z62" i="15"/>
  <c r="Z70"/>
  <c r="Z78" i="8"/>
  <c r="Z71"/>
  <c r="Z60"/>
  <c r="Z55" i="15"/>
  <c r="G23"/>
  <c r="G26" s="1"/>
  <c r="G22"/>
  <c r="G9" i="11" s="1"/>
  <c r="Z61" i="8"/>
  <c r="Z59"/>
  <c r="Z49" i="15"/>
  <c r="Z73"/>
  <c r="G111" i="6"/>
  <c r="Z68" i="8"/>
  <c r="Z63"/>
  <c r="Z67" i="15"/>
  <c r="Z57" i="8"/>
  <c r="Z77" i="15"/>
  <c r="Z54"/>
  <c r="Z64"/>
  <c r="Z52" i="8"/>
  <c r="Z75"/>
  <c r="Z74" i="15"/>
  <c r="Z55" i="8"/>
  <c r="Z56"/>
  <c r="Z57" i="15"/>
  <c r="Z58"/>
  <c r="Z62" i="8"/>
  <c r="Z51"/>
  <c r="Z71" i="15"/>
  <c r="Z66"/>
  <c r="Z58" i="8"/>
  <c r="Z64"/>
  <c r="Z60" i="15"/>
  <c r="Z51"/>
  <c r="Z53" i="8"/>
  <c r="Z65" i="15"/>
  <c r="Z76" i="8"/>
  <c r="Z70"/>
  <c r="Z54"/>
  <c r="Z77"/>
  <c r="Z59" i="15"/>
  <c r="Z69"/>
  <c r="Z48" i="8"/>
  <c r="Z67"/>
  <c r="Z52" i="15"/>
  <c r="Z72"/>
  <c r="Z49" i="8"/>
  <c r="Z50" i="15"/>
  <c r="Z75"/>
  <c r="Z53"/>
  <c r="Z73" i="8"/>
  <c r="Z56" i="15"/>
  <c r="Z61"/>
  <c r="T58" i="8"/>
  <c r="T68"/>
  <c r="T66"/>
  <c r="T65" i="15"/>
  <c r="T50" i="8"/>
  <c r="T72"/>
  <c r="T71"/>
  <c r="T77" i="15"/>
  <c r="T58"/>
  <c r="T78" i="8"/>
  <c r="T52"/>
  <c r="T67" i="15"/>
  <c r="T76" i="8"/>
  <c r="T74"/>
  <c r="T62" i="15"/>
  <c r="T55" i="8"/>
  <c r="T73"/>
  <c r="T65"/>
  <c r="T66" i="15"/>
  <c r="T54" i="8"/>
  <c r="T69"/>
  <c r="T49" i="15"/>
  <c r="T75"/>
  <c r="T69"/>
  <c r="T77" i="8"/>
  <c r="T67"/>
  <c r="T72" i="15"/>
  <c r="T59" i="8"/>
  <c r="T63"/>
  <c r="T48" i="15"/>
  <c r="T64" i="8"/>
  <c r="T48"/>
  <c r="T59" i="15"/>
  <c r="T64"/>
  <c r="T75" i="8"/>
  <c r="T60"/>
  <c r="T57" i="15"/>
  <c r="T70"/>
  <c r="T60"/>
  <c r="T70" i="8"/>
  <c r="T74" i="15"/>
  <c r="T73"/>
  <c r="T61" i="8"/>
  <c r="T68" i="15"/>
  <c r="T51"/>
  <c r="T57" i="8"/>
  <c r="T62"/>
  <c r="T52" i="15"/>
  <c r="T54"/>
  <c r="T49" i="8"/>
  <c r="T56"/>
  <c r="T55" i="15"/>
  <c r="T71"/>
  <c r="T56"/>
  <c r="T51" i="8"/>
  <c r="T63" i="15"/>
  <c r="T61"/>
  <c r="T53" i="8"/>
  <c r="T50" i="15"/>
  <c r="T53"/>
  <c r="Q78"/>
  <c r="W78" s="1"/>
  <c r="G115" i="21"/>
  <c r="F7" i="20"/>
  <c r="P7" i="1" s="1"/>
  <c r="F19" i="11"/>
  <c r="F9" i="21"/>
  <c r="F9" i="16"/>
  <c r="F9" i="14"/>
  <c r="F9" i="1"/>
  <c r="F8" i="17" s="1"/>
  <c r="AJ8" i="1" s="1"/>
  <c r="F8" i="13"/>
  <c r="F19" i="7"/>
  <c r="Q49" i="8"/>
  <c r="Q51" i="15"/>
  <c r="Q64"/>
  <c r="Q54" i="8"/>
  <c r="Q58" i="15"/>
  <c r="Q67"/>
  <c r="Q52" i="8"/>
  <c r="Q62"/>
  <c r="Q65"/>
  <c r="Q54" i="15"/>
  <c r="F22"/>
  <c r="F9" i="11" s="1"/>
  <c r="F23" i="15"/>
  <c r="F26" s="1"/>
  <c r="Q63" i="8"/>
  <c r="Q52" i="15"/>
  <c r="Q75"/>
  <c r="Q61" i="8"/>
  <c r="Q66"/>
  <c r="Q72" i="15"/>
  <c r="Q61"/>
  <c r="Q75" i="8"/>
  <c r="Q77" i="15"/>
  <c r="Q76" i="8"/>
  <c r="Q70"/>
  <c r="Q68"/>
  <c r="Q71"/>
  <c r="Q51"/>
  <c r="Q62" i="15"/>
  <c r="Q69" i="8"/>
  <c r="Q48"/>
  <c r="Q71" i="15"/>
  <c r="Q55"/>
  <c r="Q60" i="8"/>
  <c r="Q57"/>
  <c r="Q56" i="15"/>
  <c r="Q55" i="8"/>
  <c r="Q59"/>
  <c r="Q74" i="15"/>
  <c r="Q78" i="8"/>
  <c r="Q72"/>
  <c r="Q77"/>
  <c r="Q49" i="15"/>
  <c r="Q73"/>
  <c r="Q50" i="8"/>
  <c r="Q64"/>
  <c r="Q53" i="15"/>
  <c r="Q59"/>
  <c r="Q73" i="8"/>
  <c r="Q68" i="15"/>
  <c r="Q60"/>
  <c r="Q58" i="8"/>
  <c r="Q69" i="15"/>
  <c r="Q70"/>
  <c r="Q63"/>
  <c r="Q74" i="8"/>
  <c r="Q56"/>
  <c r="Q67"/>
  <c r="Q57" i="15"/>
  <c r="Q50"/>
  <c r="Q53" i="8"/>
  <c r="Q66" i="15"/>
  <c r="Q65"/>
  <c r="Q48"/>
  <c r="B15" i="21"/>
  <c r="A15" s="1"/>
  <c r="E9" i="19"/>
  <c r="E7" i="20"/>
  <c r="O7" i="1" s="1"/>
  <c r="F150" i="8"/>
  <c r="AE47" i="6"/>
  <c r="B62" i="19"/>
  <c r="A62" s="1"/>
  <c r="E116"/>
  <c r="C8"/>
  <c r="D8"/>
  <c r="B194" s="1"/>
  <c r="D194" s="1"/>
  <c r="D195" s="1"/>
  <c r="D116" s="1"/>
  <c r="H116" i="16"/>
  <c r="G116" i="19"/>
  <c r="G115" i="7"/>
  <c r="G116" s="1"/>
  <c r="F15"/>
  <c r="G150" i="8"/>
  <c r="H116" i="19"/>
  <c r="F27" i="6"/>
  <c r="F28" s="1"/>
  <c r="F29" s="1"/>
  <c r="F30" s="1"/>
  <c r="F31" s="1"/>
  <c r="F32" s="1"/>
  <c r="F33" s="1"/>
  <c r="E15" i="11"/>
  <c r="E150" i="15"/>
  <c r="E19" i="11"/>
  <c r="E116" i="16"/>
  <c r="AD80" i="8"/>
  <c r="E116" i="14"/>
  <c r="D215" i="6"/>
  <c r="O80" i="8"/>
  <c r="C111"/>
  <c r="E9" i="14"/>
  <c r="B15" i="19"/>
  <c r="A15" s="1"/>
  <c r="E8" i="13"/>
  <c r="E9" i="1"/>
  <c r="E8" i="17" s="1"/>
  <c r="AI8" i="1" s="1"/>
  <c r="K63" i="8"/>
  <c r="K65"/>
  <c r="K68"/>
  <c r="K70"/>
  <c r="K61"/>
  <c r="K67"/>
  <c r="K64"/>
  <c r="K66"/>
  <c r="K51"/>
  <c r="K50"/>
  <c r="K52"/>
  <c r="K62"/>
  <c r="K49"/>
  <c r="K74"/>
  <c r="K53"/>
  <c r="K55"/>
  <c r="K76"/>
  <c r="K72"/>
  <c r="K71"/>
  <c r="K59" i="15"/>
  <c r="K73" i="8"/>
  <c r="K57"/>
  <c r="K73" i="15"/>
  <c r="K77" i="8"/>
  <c r="K48"/>
  <c r="K59"/>
  <c r="K61" i="15"/>
  <c r="K55"/>
  <c r="K78" i="8"/>
  <c r="K60"/>
  <c r="K72" i="15"/>
  <c r="K56"/>
  <c r="K51"/>
  <c r="K70"/>
  <c r="K54"/>
  <c r="K53"/>
  <c r="K48"/>
  <c r="K65"/>
  <c r="K50"/>
  <c r="K52"/>
  <c r="K69" i="8"/>
  <c r="K76" i="15"/>
  <c r="N76" s="1"/>
  <c r="K71"/>
  <c r="K54" i="8"/>
  <c r="K75"/>
  <c r="K69" i="15"/>
  <c r="K74"/>
  <c r="K75"/>
  <c r="K58" i="8"/>
  <c r="K56"/>
  <c r="K57" i="15"/>
  <c r="K60"/>
  <c r="K63"/>
  <c r="K62"/>
  <c r="K66"/>
  <c r="K64"/>
  <c r="K68"/>
  <c r="K67"/>
  <c r="K77"/>
  <c r="K49"/>
  <c r="K58"/>
  <c r="AB80" i="8"/>
  <c r="U80"/>
  <c r="X80"/>
  <c r="Z80"/>
  <c r="L80"/>
  <c r="G15" i="7"/>
  <c r="G116" i="1"/>
  <c r="I135" i="11"/>
  <c r="I136" s="1"/>
  <c r="D7" i="13"/>
  <c r="G116" i="16"/>
  <c r="D8"/>
  <c r="B194" s="1"/>
  <c r="D194" s="1"/>
  <c r="D195" s="1"/>
  <c r="D116" s="1"/>
  <c r="G116" i="14"/>
  <c r="F25" i="8"/>
  <c r="E7"/>
  <c r="C8" i="7" s="1"/>
  <c r="I150" i="15"/>
  <c r="I15" i="11"/>
  <c r="F135"/>
  <c r="F136" s="1"/>
  <c r="F15"/>
  <c r="G150" i="15"/>
  <c r="G135" i="11"/>
  <c r="G136" s="1"/>
  <c r="I19" i="7"/>
  <c r="C8" i="16"/>
  <c r="D8" i="14"/>
  <c r="B194" s="1"/>
  <c r="D194" s="1"/>
  <c r="D195" s="1"/>
  <c r="D116" s="1"/>
  <c r="G15" i="11"/>
  <c r="X80" i="15"/>
  <c r="AB80"/>
  <c r="Z80"/>
  <c r="AD80"/>
  <c r="U80"/>
  <c r="O80"/>
  <c r="D26"/>
  <c r="L80"/>
  <c r="R80"/>
  <c r="C26"/>
  <c r="I27" i="6"/>
  <c r="I28" s="1"/>
  <c r="I29" s="1"/>
  <c r="I30" s="1"/>
  <c r="I31" s="1"/>
  <c r="I32" s="1"/>
  <c r="I33" s="1"/>
  <c r="I95" s="1"/>
  <c r="C27"/>
  <c r="C28" s="1"/>
  <c r="F150" i="15"/>
  <c r="B15" i="16"/>
  <c r="A15" s="1"/>
  <c r="I115" i="7"/>
  <c r="I116" s="1"/>
  <c r="I15"/>
  <c r="D25" i="8"/>
  <c r="D26"/>
  <c r="C25"/>
  <c r="C26"/>
  <c r="E23" i="15"/>
  <c r="E26" s="1"/>
  <c r="E22"/>
  <c r="E9" i="11" s="1"/>
  <c r="B15" i="14"/>
  <c r="A15" s="1"/>
  <c r="D95" i="6"/>
  <c r="D110"/>
  <c r="D112" s="1"/>
  <c r="D9" i="11"/>
  <c r="D201" i="15"/>
  <c r="D111"/>
  <c r="C131"/>
  <c r="C133"/>
  <c r="G62" i="7"/>
  <c r="H116" i="1"/>
  <c r="B15"/>
  <c r="A15" s="1"/>
  <c r="D12" i="15"/>
  <c r="D13" s="1"/>
  <c r="D25" s="1"/>
  <c r="H12"/>
  <c r="H13" s="1"/>
  <c r="H14" s="1"/>
  <c r="C7" i="13"/>
  <c r="E136" i="11"/>
  <c r="F62" i="7"/>
  <c r="H116" i="14"/>
  <c r="H19" i="7"/>
  <c r="H115"/>
  <c r="H116" s="1"/>
  <c r="I12" i="15"/>
  <c r="I13" s="1"/>
  <c r="I14" s="1"/>
  <c r="E12"/>
  <c r="E13" s="1"/>
  <c r="E14" s="1"/>
  <c r="H15" i="7"/>
  <c r="G12" i="15"/>
  <c r="G13" s="1"/>
  <c r="G14" s="1"/>
  <c r="F12"/>
  <c r="F13" s="1"/>
  <c r="F14" s="1"/>
  <c r="C12"/>
  <c r="C13" s="1"/>
  <c r="C25" s="1"/>
  <c r="C8" i="14"/>
  <c r="D27" i="6"/>
  <c r="D28" s="1"/>
  <c r="D33" s="1"/>
  <c r="E27"/>
  <c r="E28" s="1"/>
  <c r="E29" s="1"/>
  <c r="E30" s="1"/>
  <c r="E31" s="1"/>
  <c r="E32" s="1"/>
  <c r="E33" s="1"/>
  <c r="B62" i="14"/>
  <c r="A62" s="1"/>
  <c r="B62" i="1"/>
  <c r="A62" s="1"/>
  <c r="H19" i="11"/>
  <c r="H15"/>
  <c r="E67"/>
  <c r="H67"/>
  <c r="H135"/>
  <c r="H136" s="1"/>
  <c r="H62" i="7"/>
  <c r="B62" i="16"/>
  <c r="A62" s="1"/>
  <c r="F116" i="7"/>
  <c r="E100" i="6"/>
  <c r="E115" i="7"/>
  <c r="E116" s="1"/>
  <c r="E25" i="8"/>
  <c r="E27" s="1"/>
  <c r="E28" s="1"/>
  <c r="E29" s="1"/>
  <c r="E30" s="1"/>
  <c r="E31" s="1"/>
  <c r="E32" s="1"/>
  <c r="E33" s="1"/>
  <c r="E219" s="1"/>
  <c r="K8"/>
  <c r="E15" i="7"/>
  <c r="E150" i="8"/>
  <c r="E9" i="7"/>
  <c r="C8" i="11" l="1"/>
  <c r="B256"/>
  <c r="D256" s="1"/>
  <c r="D257" s="1"/>
  <c r="B210"/>
  <c r="D210" s="1"/>
  <c r="D211" s="1"/>
  <c r="D136" s="1"/>
  <c r="D189" i="8"/>
  <c r="E133" i="22"/>
  <c r="E130"/>
  <c r="E131"/>
  <c r="E132"/>
  <c r="R76" i="15"/>
  <c r="U76"/>
  <c r="X76"/>
  <c r="X79" i="6"/>
  <c r="X90" s="1"/>
  <c r="O76" i="15"/>
  <c r="U79" i="6"/>
  <c r="R79"/>
  <c r="H25" i="15"/>
  <c r="H27" s="1"/>
  <c r="H28" s="1"/>
  <c r="H29" s="1"/>
  <c r="H30" s="1"/>
  <c r="H31" s="1"/>
  <c r="H32" s="1"/>
  <c r="H33" s="1"/>
  <c r="H95" s="1"/>
  <c r="G25" i="8"/>
  <c r="G27" s="1"/>
  <c r="G28" s="1"/>
  <c r="G29" s="1"/>
  <c r="G30" s="1"/>
  <c r="G31" s="1"/>
  <c r="G32" s="1"/>
  <c r="G33" s="1"/>
  <c r="F27"/>
  <c r="F28" s="1"/>
  <c r="F29" s="1"/>
  <c r="F30" s="1"/>
  <c r="F31" s="1"/>
  <c r="F32" s="1"/>
  <c r="F33" s="1"/>
  <c r="F10" i="7" s="1"/>
  <c r="I111" i="8"/>
  <c r="I26"/>
  <c r="I27" s="1"/>
  <c r="I28" s="1"/>
  <c r="I29" s="1"/>
  <c r="I30" s="1"/>
  <c r="I31" s="1"/>
  <c r="I32" s="1"/>
  <c r="I33" s="1"/>
  <c r="I95" s="1"/>
  <c r="H111"/>
  <c r="H25"/>
  <c r="H27" s="1"/>
  <c r="H28" s="1"/>
  <c r="H29" s="1"/>
  <c r="H30" s="1"/>
  <c r="H31" s="1"/>
  <c r="H32" s="1"/>
  <c r="H33" s="1"/>
  <c r="H95" s="1"/>
  <c r="L79" i="6"/>
  <c r="O79"/>
  <c r="G25" i="15"/>
  <c r="G27" s="1"/>
  <c r="G28" s="1"/>
  <c r="G29" s="1"/>
  <c r="G30" s="1"/>
  <c r="G31" s="1"/>
  <c r="G32" s="1"/>
  <c r="G33" s="1"/>
  <c r="G95" s="1"/>
  <c r="I25"/>
  <c r="I27" s="1"/>
  <c r="I28" s="1"/>
  <c r="I29" s="1"/>
  <c r="I30" s="1"/>
  <c r="I31" s="1"/>
  <c r="I32" s="1"/>
  <c r="I33" s="1"/>
  <c r="I95" s="1"/>
  <c r="F25"/>
  <c r="F27" s="1"/>
  <c r="F28" s="1"/>
  <c r="F29" s="1"/>
  <c r="F30" s="1"/>
  <c r="F31" s="1"/>
  <c r="F32" s="1"/>
  <c r="F33" s="1"/>
  <c r="F95" s="1"/>
  <c r="H27" i="6"/>
  <c r="H28" s="1"/>
  <c r="H29" s="1"/>
  <c r="H30" s="1"/>
  <c r="H31" s="1"/>
  <c r="H32" s="1"/>
  <c r="H33" s="1"/>
  <c r="H95" s="1"/>
  <c r="U55" i="15"/>
  <c r="L78"/>
  <c r="AD79"/>
  <c r="R78"/>
  <c r="U63"/>
  <c r="X78"/>
  <c r="U53" i="8"/>
  <c r="AB79" i="15"/>
  <c r="U60" i="8"/>
  <c r="Z79" i="15"/>
  <c r="U49" i="8"/>
  <c r="U53" i="15"/>
  <c r="U70" i="8"/>
  <c r="U77" i="15"/>
  <c r="U61" i="8"/>
  <c r="U58" i="15"/>
  <c r="U52"/>
  <c r="U68"/>
  <c r="U59" i="8"/>
  <c r="U56"/>
  <c r="U52"/>
  <c r="U73" i="15"/>
  <c r="U51"/>
  <c r="U50"/>
  <c r="U51" i="8"/>
  <c r="U60" i="15"/>
  <c r="U75" i="8"/>
  <c r="U64"/>
  <c r="U66"/>
  <c r="U64" i="15"/>
  <c r="U72" i="8"/>
  <c r="U65" i="15"/>
  <c r="I11" i="16"/>
  <c r="I10" i="14"/>
  <c r="I9" i="13"/>
  <c r="I10" i="19"/>
  <c r="I113" i="6"/>
  <c r="I96"/>
  <c r="I97" s="1"/>
  <c r="I98" s="1"/>
  <c r="I11" i="21"/>
  <c r="I11" i="19"/>
  <c r="I10" i="16"/>
  <c r="I10" i="21"/>
  <c r="I11" i="14"/>
  <c r="I11" i="1"/>
  <c r="I10"/>
  <c r="I132" s="1"/>
  <c r="I110" i="6"/>
  <c r="I112" s="1"/>
  <c r="U62" i="8"/>
  <c r="U72" i="15"/>
  <c r="U75"/>
  <c r="U66"/>
  <c r="U62"/>
  <c r="U71" i="8"/>
  <c r="I111" i="15"/>
  <c r="AD79" i="8"/>
  <c r="U48"/>
  <c r="U69" i="15"/>
  <c r="U54" i="8"/>
  <c r="U55"/>
  <c r="U67" i="15"/>
  <c r="U56"/>
  <c r="U57" i="8"/>
  <c r="U70" i="15"/>
  <c r="U48"/>
  <c r="U67" i="8"/>
  <c r="U49" i="15"/>
  <c r="U65" i="8"/>
  <c r="U74"/>
  <c r="U78"/>
  <c r="U68"/>
  <c r="AB79"/>
  <c r="H111" i="15"/>
  <c r="G11" i="14"/>
  <c r="G11" i="1"/>
  <c r="G10" i="14"/>
  <c r="G11" i="16"/>
  <c r="G10" i="19"/>
  <c r="G9" i="13"/>
  <c r="G10" i="16"/>
  <c r="G96" i="6"/>
  <c r="G97" s="1"/>
  <c r="G98" s="1"/>
  <c r="G11" i="21"/>
  <c r="G110" i="6"/>
  <c r="G112" s="1"/>
  <c r="G10" i="21"/>
  <c r="G11" i="19"/>
  <c r="G113" i="6"/>
  <c r="G10" i="1"/>
  <c r="U61" i="15"/>
  <c r="U71"/>
  <c r="U54"/>
  <c r="U74"/>
  <c r="U57"/>
  <c r="U59"/>
  <c r="U63" i="8"/>
  <c r="U77"/>
  <c r="U69"/>
  <c r="U73"/>
  <c r="U76"/>
  <c r="U50"/>
  <c r="U58"/>
  <c r="G111"/>
  <c r="Z79"/>
  <c r="G111" i="15"/>
  <c r="R48"/>
  <c r="W48"/>
  <c r="X48" s="1"/>
  <c r="W50"/>
  <c r="X50" s="1"/>
  <c r="R50"/>
  <c r="W74" i="8"/>
  <c r="X74" s="1"/>
  <c r="R74"/>
  <c r="R58"/>
  <c r="W58"/>
  <c r="X58" s="1"/>
  <c r="W59" i="15"/>
  <c r="X59" s="1"/>
  <c r="R59"/>
  <c r="W73"/>
  <c r="X73" s="1"/>
  <c r="R73"/>
  <c r="W78" i="8"/>
  <c r="X78" s="1"/>
  <c r="R78"/>
  <c r="R56" i="15"/>
  <c r="W56"/>
  <c r="X56" s="1"/>
  <c r="W71"/>
  <c r="X71" s="1"/>
  <c r="R71"/>
  <c r="R51" i="8"/>
  <c r="W51"/>
  <c r="X51" s="1"/>
  <c r="W76"/>
  <c r="X76" s="1"/>
  <c r="R76"/>
  <c r="W72" i="15"/>
  <c r="X72" s="1"/>
  <c r="R72"/>
  <c r="W75"/>
  <c r="X75" s="1"/>
  <c r="R75"/>
  <c r="W52" i="8"/>
  <c r="X52" s="1"/>
  <c r="R52"/>
  <c r="W64" i="15"/>
  <c r="X64" s="1"/>
  <c r="R64"/>
  <c r="R65"/>
  <c r="W65"/>
  <c r="X65" s="1"/>
  <c r="W57"/>
  <c r="X57" s="1"/>
  <c r="R57"/>
  <c r="W63"/>
  <c r="X63" s="1"/>
  <c r="R63"/>
  <c r="R60"/>
  <c r="W60"/>
  <c r="X60" s="1"/>
  <c r="W53"/>
  <c r="X53" s="1"/>
  <c r="R53"/>
  <c r="W49"/>
  <c r="X49" s="1"/>
  <c r="R49"/>
  <c r="W74"/>
  <c r="X74" s="1"/>
  <c r="R74"/>
  <c r="R57" i="8"/>
  <c r="W57"/>
  <c r="X57" s="1"/>
  <c r="W48"/>
  <c r="X48" s="1"/>
  <c r="R48"/>
  <c r="R71"/>
  <c r="W71"/>
  <c r="X71" s="1"/>
  <c r="W77" i="15"/>
  <c r="X77" s="1"/>
  <c r="R77"/>
  <c r="R66" i="8"/>
  <c r="W66"/>
  <c r="X66" s="1"/>
  <c r="R52" i="15"/>
  <c r="W52"/>
  <c r="X52" s="1"/>
  <c r="W54"/>
  <c r="X54" s="1"/>
  <c r="R54"/>
  <c r="R67"/>
  <c r="W67"/>
  <c r="X67" s="1"/>
  <c r="W51"/>
  <c r="X51" s="1"/>
  <c r="R51"/>
  <c r="W66"/>
  <c r="X66" s="1"/>
  <c r="R66"/>
  <c r="R67" i="8"/>
  <c r="W67"/>
  <c r="X67" s="1"/>
  <c r="R70" i="15"/>
  <c r="W70"/>
  <c r="X70" s="1"/>
  <c r="W68"/>
  <c r="X68" s="1"/>
  <c r="R68"/>
  <c r="W64" i="8"/>
  <c r="X64" s="1"/>
  <c r="R64"/>
  <c r="W77"/>
  <c r="X77" s="1"/>
  <c r="R77"/>
  <c r="R59"/>
  <c r="W59"/>
  <c r="X59" s="1"/>
  <c r="W60"/>
  <c r="X60" s="1"/>
  <c r="R60"/>
  <c r="R69"/>
  <c r="W69"/>
  <c r="X69" s="1"/>
  <c r="W68"/>
  <c r="X68" s="1"/>
  <c r="R68"/>
  <c r="R75"/>
  <c r="W75"/>
  <c r="X75" s="1"/>
  <c r="R61"/>
  <c r="W61"/>
  <c r="X61" s="1"/>
  <c r="W63"/>
  <c r="X63" s="1"/>
  <c r="R63"/>
  <c r="R65"/>
  <c r="W65"/>
  <c r="X65" s="1"/>
  <c r="R58" i="15"/>
  <c r="W58"/>
  <c r="X58" s="1"/>
  <c r="W49" i="8"/>
  <c r="X49" s="1"/>
  <c r="R49"/>
  <c r="W53"/>
  <c r="X53" s="1"/>
  <c r="R53"/>
  <c r="R56"/>
  <c r="W56"/>
  <c r="X56" s="1"/>
  <c r="W69" i="15"/>
  <c r="X69" s="1"/>
  <c r="R69"/>
  <c r="W73" i="8"/>
  <c r="X73" s="1"/>
  <c r="R73"/>
  <c r="R50"/>
  <c r="W50"/>
  <c r="X50" s="1"/>
  <c r="W72"/>
  <c r="X72" s="1"/>
  <c r="R72"/>
  <c r="R55"/>
  <c r="W55"/>
  <c r="X55" s="1"/>
  <c r="R55" i="15"/>
  <c r="W55"/>
  <c r="X55" s="1"/>
  <c r="W62"/>
  <c r="X62" s="1"/>
  <c r="R62"/>
  <c r="R70" i="8"/>
  <c r="W70"/>
  <c r="X70" s="1"/>
  <c r="R61" i="15"/>
  <c r="W61"/>
  <c r="X61" s="1"/>
  <c r="F111"/>
  <c r="R62" i="8"/>
  <c r="W62"/>
  <c r="X62" s="1"/>
  <c r="W54"/>
  <c r="X54" s="1"/>
  <c r="R54"/>
  <c r="E19" i="19"/>
  <c r="E19" i="21"/>
  <c r="D11"/>
  <c r="D10"/>
  <c r="F11" i="16"/>
  <c r="F10" i="21"/>
  <c r="F11"/>
  <c r="E11"/>
  <c r="E10"/>
  <c r="F11" i="14"/>
  <c r="F96" i="6"/>
  <c r="F9" i="13"/>
  <c r="F110" i="6"/>
  <c r="F112" s="1"/>
  <c r="F113"/>
  <c r="F10" i="16"/>
  <c r="D217" i="6"/>
  <c r="D158" s="1"/>
  <c r="D159" s="1"/>
  <c r="D216"/>
  <c r="F11" i="1"/>
  <c r="F95" i="6"/>
  <c r="F10" i="1"/>
  <c r="F9" i="17" s="1"/>
  <c r="AJ9" i="1" s="1"/>
  <c r="F10" i="14"/>
  <c r="F11" i="19"/>
  <c r="F10"/>
  <c r="L76" i="15"/>
  <c r="E11" i="19"/>
  <c r="E10"/>
  <c r="D10"/>
  <c r="D11"/>
  <c r="D44" i="6"/>
  <c r="D45" s="1"/>
  <c r="L55" i="8"/>
  <c r="N55"/>
  <c r="O55" s="1"/>
  <c r="L62"/>
  <c r="N62"/>
  <c r="O62" s="1"/>
  <c r="N66"/>
  <c r="O66" s="1"/>
  <c r="L66"/>
  <c r="L70"/>
  <c r="N70"/>
  <c r="O70" s="1"/>
  <c r="L53"/>
  <c r="N53"/>
  <c r="O53" s="1"/>
  <c r="L52"/>
  <c r="N52"/>
  <c r="O52" s="1"/>
  <c r="L64"/>
  <c r="N64"/>
  <c r="O64" s="1"/>
  <c r="L68"/>
  <c r="N68"/>
  <c r="O68" s="1"/>
  <c r="N74"/>
  <c r="O74" s="1"/>
  <c r="L74"/>
  <c r="N50"/>
  <c r="O50" s="1"/>
  <c r="L50"/>
  <c r="L67"/>
  <c r="N67"/>
  <c r="O67" s="1"/>
  <c r="N65"/>
  <c r="O65" s="1"/>
  <c r="L65"/>
  <c r="L76"/>
  <c r="N76"/>
  <c r="O76" s="1"/>
  <c r="N49"/>
  <c r="O49" s="1"/>
  <c r="L49"/>
  <c r="N51"/>
  <c r="O51" s="1"/>
  <c r="L51"/>
  <c r="N61"/>
  <c r="O61" s="1"/>
  <c r="L61"/>
  <c r="N63"/>
  <c r="O63" s="1"/>
  <c r="L63"/>
  <c r="N49" i="15"/>
  <c r="O49" s="1"/>
  <c r="L49"/>
  <c r="L64"/>
  <c r="N64"/>
  <c r="O64" s="1"/>
  <c r="N60"/>
  <c r="O60" s="1"/>
  <c r="L60"/>
  <c r="L75"/>
  <c r="N75"/>
  <c r="O75" s="1"/>
  <c r="N54" i="8"/>
  <c r="O54" s="1"/>
  <c r="L54"/>
  <c r="L52" i="15"/>
  <c r="N52"/>
  <c r="O52" s="1"/>
  <c r="L48"/>
  <c r="N48"/>
  <c r="L51"/>
  <c r="N51"/>
  <c r="O51" s="1"/>
  <c r="N78" i="8"/>
  <c r="O78" s="1"/>
  <c r="L78"/>
  <c r="N48"/>
  <c r="L48"/>
  <c r="L73"/>
  <c r="N73"/>
  <c r="O73" s="1"/>
  <c r="L77" i="15"/>
  <c r="N77"/>
  <c r="O77" s="1"/>
  <c r="L66"/>
  <c r="N66"/>
  <c r="O66" s="1"/>
  <c r="N57"/>
  <c r="O57" s="1"/>
  <c r="L57"/>
  <c r="L74"/>
  <c r="N74"/>
  <c r="O74" s="1"/>
  <c r="L71"/>
  <c r="N71"/>
  <c r="O71" s="1"/>
  <c r="L53"/>
  <c r="N53"/>
  <c r="O53" s="1"/>
  <c r="L56"/>
  <c r="N56"/>
  <c r="O56" s="1"/>
  <c r="N55"/>
  <c r="O55" s="1"/>
  <c r="L55"/>
  <c r="N77" i="8"/>
  <c r="O77" s="1"/>
  <c r="L77"/>
  <c r="N59" i="15"/>
  <c r="O59" s="1"/>
  <c r="L59"/>
  <c r="E19" i="16"/>
  <c r="E19" i="14"/>
  <c r="N67" i="15"/>
  <c r="O67" s="1"/>
  <c r="L67"/>
  <c r="L62"/>
  <c r="N62"/>
  <c r="O62" s="1"/>
  <c r="N56" i="8"/>
  <c r="O56" s="1"/>
  <c r="L56"/>
  <c r="L69" i="15"/>
  <c r="N69"/>
  <c r="O69" s="1"/>
  <c r="N50"/>
  <c r="O50" s="1"/>
  <c r="L50"/>
  <c r="L54"/>
  <c r="N54"/>
  <c r="O54" s="1"/>
  <c r="N72"/>
  <c r="O72" s="1"/>
  <c r="L72"/>
  <c r="L61"/>
  <c r="N61"/>
  <c r="O61" s="1"/>
  <c r="N73"/>
  <c r="O73" s="1"/>
  <c r="L73"/>
  <c r="N71" i="8"/>
  <c r="O71" s="1"/>
  <c r="L71"/>
  <c r="L58" i="15"/>
  <c r="N58"/>
  <c r="O58" s="1"/>
  <c r="N68"/>
  <c r="O68" s="1"/>
  <c r="L68"/>
  <c r="L63"/>
  <c r="N63"/>
  <c r="O63" s="1"/>
  <c r="L58" i="8"/>
  <c r="N58"/>
  <c r="O58" s="1"/>
  <c r="L75"/>
  <c r="N75"/>
  <c r="O75" s="1"/>
  <c r="L69"/>
  <c r="N69"/>
  <c r="O69" s="1"/>
  <c r="N65" i="15"/>
  <c r="O65" s="1"/>
  <c r="L65"/>
  <c r="N70"/>
  <c r="O70" s="1"/>
  <c r="L70"/>
  <c r="L60" i="8"/>
  <c r="N60"/>
  <c r="O60" s="1"/>
  <c r="N59"/>
  <c r="O59" s="1"/>
  <c r="L59"/>
  <c r="L57"/>
  <c r="N57"/>
  <c r="O57" s="1"/>
  <c r="L72"/>
  <c r="N72"/>
  <c r="O72" s="1"/>
  <c r="B15" i="11"/>
  <c r="A15" s="1"/>
  <c r="D27" i="15"/>
  <c r="D28" s="1"/>
  <c r="D33" s="1"/>
  <c r="C27"/>
  <c r="C28" s="1"/>
  <c r="C29" s="1"/>
  <c r="C33" s="1"/>
  <c r="C100" s="1"/>
  <c r="C19" i="11" s="1"/>
  <c r="B19" s="1"/>
  <c r="A19" s="1"/>
  <c r="D96" i="6"/>
  <c r="D98" s="1"/>
  <c r="E25" i="15"/>
  <c r="E27" s="1"/>
  <c r="E28" s="1"/>
  <c r="E29" s="1"/>
  <c r="E30" s="1"/>
  <c r="E31" s="1"/>
  <c r="E32" s="1"/>
  <c r="E33" s="1"/>
  <c r="E95" s="1"/>
  <c r="C29" i="6"/>
  <c r="C33" s="1"/>
  <c r="D27" i="8"/>
  <c r="D28" s="1"/>
  <c r="D33" s="1"/>
  <c r="C27"/>
  <c r="C28" s="1"/>
  <c r="C29" s="1"/>
  <c r="C33" s="1"/>
  <c r="E111" i="15"/>
  <c r="D11" i="1"/>
  <c r="D10"/>
  <c r="D110" i="8"/>
  <c r="D112" s="1"/>
  <c r="D95"/>
  <c r="D211" i="15"/>
  <c r="D11" i="16"/>
  <c r="D10"/>
  <c r="D9" i="13"/>
  <c r="D11" i="14"/>
  <c r="D10"/>
  <c r="C55" i="11"/>
  <c r="C141" i="15"/>
  <c r="C199" s="1"/>
  <c r="C201" s="1"/>
  <c r="C144"/>
  <c r="C147" s="1"/>
  <c r="C140"/>
  <c r="C54" i="11" s="1"/>
  <c r="C135" s="1"/>
  <c r="C150" i="15"/>
  <c r="B15" i="7"/>
  <c r="A15" s="1"/>
  <c r="B62"/>
  <c r="A62" s="1"/>
  <c r="E95" i="6"/>
  <c r="E10" i="1"/>
  <c r="E9" i="17" s="1"/>
  <c r="AI9" i="1" s="1"/>
  <c r="E11"/>
  <c r="E96" i="6"/>
  <c r="E10" i="14"/>
  <c r="E10" i="16"/>
  <c r="E44" i="6"/>
  <c r="E45" s="1"/>
  <c r="E9" i="13"/>
  <c r="E11" i="16"/>
  <c r="E113" i="6"/>
  <c r="E110"/>
  <c r="E112" s="1"/>
  <c r="E11" i="14"/>
  <c r="B67" i="11"/>
  <c r="A67" s="1"/>
  <c r="E19" i="1"/>
  <c r="C225" i="6"/>
  <c r="C130"/>
  <c r="B130" s="1"/>
  <c r="A130" s="1"/>
  <c r="D152"/>
  <c r="D153" s="1"/>
  <c r="D155"/>
  <c r="D156" s="1"/>
  <c r="E100" i="8"/>
  <c r="E19" i="7" s="1"/>
  <c r="E10"/>
  <c r="C110" i="6"/>
  <c r="C112" s="1"/>
  <c r="D214" i="8"/>
  <c r="D157" s="1"/>
  <c r="D158" s="1"/>
  <c r="D213"/>
  <c r="E95"/>
  <c r="E110"/>
  <c r="E112" s="1"/>
  <c r="E44"/>
  <c r="E45" s="1"/>
  <c r="E13" i="7" s="1"/>
  <c r="E113" i="8"/>
  <c r="E96"/>
  <c r="E11" i="7"/>
  <c r="E257" i="11" l="1"/>
  <c r="E135" i="22"/>
  <c r="F11" i="7"/>
  <c r="F113" i="8"/>
  <c r="F96"/>
  <c r="F95"/>
  <c r="F110"/>
  <c r="F112" s="1"/>
  <c r="H113"/>
  <c r="H96"/>
  <c r="H97" s="1"/>
  <c r="H98" s="1"/>
  <c r="H18" i="7" s="1"/>
  <c r="H110" i="8"/>
  <c r="H112" s="1"/>
  <c r="H10" i="7"/>
  <c r="H170" s="1"/>
  <c r="H11"/>
  <c r="AE79" i="6"/>
  <c r="L81" s="1"/>
  <c r="L82" s="1"/>
  <c r="S33"/>
  <c r="E13" i="21"/>
  <c r="E13" i="19"/>
  <c r="H96" i="6"/>
  <c r="H97" s="1"/>
  <c r="H98" s="1"/>
  <c r="H18" i="14" s="1"/>
  <c r="H110" i="6"/>
  <c r="H112" s="1"/>
  <c r="H11" i="21"/>
  <c r="C219" i="8"/>
  <c r="C221" s="1"/>
  <c r="C156" i="7" s="1"/>
  <c r="C100" i="8"/>
  <c r="C19" i="7" s="1"/>
  <c r="B19" s="1"/>
  <c r="A19" s="1"/>
  <c r="C11" i="21"/>
  <c r="C177" s="1"/>
  <c r="W15" i="1" s="1"/>
  <c r="C100" i="6"/>
  <c r="I96" i="8"/>
  <c r="I97" s="1"/>
  <c r="I98" s="1"/>
  <c r="I18" i="7" s="1"/>
  <c r="B33" i="6"/>
  <c r="A280" s="1"/>
  <c r="H10" i="19"/>
  <c r="H10" i="14"/>
  <c r="H10" i="1"/>
  <c r="H11"/>
  <c r="I23" i="22" s="1"/>
  <c r="H10" i="21"/>
  <c r="H11" i="16"/>
  <c r="H11" i="19"/>
  <c r="H11" i="14"/>
  <c r="H113" i="6"/>
  <c r="H10" i="16"/>
  <c r="H9" i="13"/>
  <c r="I10" i="7"/>
  <c r="I169" s="1"/>
  <c r="I113" i="8"/>
  <c r="I110"/>
  <c r="I112" s="1"/>
  <c r="I11" i="7"/>
  <c r="I18" i="21"/>
  <c r="I18" i="14"/>
  <c r="I18" i="16"/>
  <c r="I18" i="19"/>
  <c r="I18" i="1"/>
  <c r="J30" i="22" s="1"/>
  <c r="G18" i="21"/>
  <c r="G18" i="19"/>
  <c r="G169" s="1"/>
  <c r="G18" i="1"/>
  <c r="H30" i="22" s="1"/>
  <c r="G18" i="14"/>
  <c r="G168" s="1"/>
  <c r="G18" i="16"/>
  <c r="G168" s="1"/>
  <c r="D18" i="21"/>
  <c r="D18" i="16"/>
  <c r="D18" i="19"/>
  <c r="D18" i="14"/>
  <c r="D18" i="1"/>
  <c r="E30" i="22" s="1"/>
  <c r="D8" i="12"/>
  <c r="E23" i="22"/>
  <c r="E32" s="1"/>
  <c r="D93" i="6" s="1"/>
  <c r="D16" i="16" s="1"/>
  <c r="E8" i="12"/>
  <c r="F23" i="22"/>
  <c r="F93" s="1"/>
  <c r="F8" i="12"/>
  <c r="G23" i="22"/>
  <c r="F36"/>
  <c r="I8" i="12"/>
  <c r="J23" i="22"/>
  <c r="G8" i="12"/>
  <c r="H23" i="22"/>
  <c r="U79" i="15"/>
  <c r="S33" i="8"/>
  <c r="G95"/>
  <c r="I11" i="11"/>
  <c r="I113" i="15"/>
  <c r="I110"/>
  <c r="I112" s="1"/>
  <c r="I10" i="11"/>
  <c r="I96" i="15"/>
  <c r="I97" s="1"/>
  <c r="I98" s="1"/>
  <c r="I18" i="11" s="1"/>
  <c r="I168" i="19"/>
  <c r="I169"/>
  <c r="I168" i="14"/>
  <c r="I169"/>
  <c r="I168" i="1"/>
  <c r="I169"/>
  <c r="I168" i="16"/>
  <c r="I169"/>
  <c r="H110" i="15"/>
  <c r="H112" s="1"/>
  <c r="H96"/>
  <c r="H97" s="1"/>
  <c r="H98" s="1"/>
  <c r="H18" i="11" s="1"/>
  <c r="H10"/>
  <c r="H11"/>
  <c r="H113" i="15"/>
  <c r="G113"/>
  <c r="G10" i="11"/>
  <c r="G110" i="15"/>
  <c r="G112" s="1"/>
  <c r="G11" i="11"/>
  <c r="G96" i="15"/>
  <c r="G97" s="1"/>
  <c r="G98" s="1"/>
  <c r="G18" i="11" s="1"/>
  <c r="U79" i="8"/>
  <c r="G113"/>
  <c r="G110"/>
  <c r="G112" s="1"/>
  <c r="G10" i="7"/>
  <c r="G11"/>
  <c r="G96" i="8"/>
  <c r="G169" i="16"/>
  <c r="G9" i="17"/>
  <c r="AK9" i="1" s="1"/>
  <c r="G168"/>
  <c r="D177" i="21"/>
  <c r="X15" i="1" s="1"/>
  <c r="R79" i="15"/>
  <c r="X79"/>
  <c r="X90" s="1"/>
  <c r="F96"/>
  <c r="F97" s="1"/>
  <c r="F98" s="1"/>
  <c r="F18" i="11" s="1"/>
  <c r="F11"/>
  <c r="F10"/>
  <c r="F110" i="15"/>
  <c r="F112" s="1"/>
  <c r="F113"/>
  <c r="R79" i="8"/>
  <c r="X79"/>
  <c r="X90" s="1"/>
  <c r="C156" i="19"/>
  <c r="C155" i="21"/>
  <c r="D17"/>
  <c r="B17" s="1"/>
  <c r="A17" s="1"/>
  <c r="D16"/>
  <c r="D149"/>
  <c r="B149" s="1"/>
  <c r="A149" s="1"/>
  <c r="D13"/>
  <c r="D158"/>
  <c r="F97" i="6"/>
  <c r="F98" s="1"/>
  <c r="C11" i="19"/>
  <c r="D150"/>
  <c r="B150" s="1"/>
  <c r="A150" s="1"/>
  <c r="D159"/>
  <c r="D16"/>
  <c r="D17"/>
  <c r="B17" s="1"/>
  <c r="A17" s="1"/>
  <c r="D13"/>
  <c r="L79" i="15"/>
  <c r="C11" i="16"/>
  <c r="L79" i="8"/>
  <c r="O48"/>
  <c r="O79" s="1"/>
  <c r="AE47"/>
  <c r="AE47" i="15"/>
  <c r="O48"/>
  <c r="O79" s="1"/>
  <c r="B6" i="6"/>
  <c r="C16" i="22" s="1"/>
  <c r="C11" i="1"/>
  <c r="D13"/>
  <c r="E34" i="22" s="1"/>
  <c r="D9" i="17"/>
  <c r="AH9" i="1" s="1"/>
  <c r="C95" i="6"/>
  <c r="C98" s="1"/>
  <c r="C44"/>
  <c r="C45" s="1"/>
  <c r="C11" i="14"/>
  <c r="E13" i="16"/>
  <c r="E13" i="14"/>
  <c r="E13" i="1"/>
  <c r="F34" i="22" s="1"/>
  <c r="F40" s="1"/>
  <c r="D10" i="7"/>
  <c r="D44" i="8"/>
  <c r="D45" s="1"/>
  <c r="D11" i="7"/>
  <c r="E44" i="15"/>
  <c r="E45" s="1"/>
  <c r="E13" i="11" s="1"/>
  <c r="E96" i="15"/>
  <c r="E97" s="1"/>
  <c r="E98" s="1"/>
  <c r="E18" i="11" s="1"/>
  <c r="S33" i="15"/>
  <c r="E113"/>
  <c r="E110"/>
  <c r="E112" s="1"/>
  <c r="E10" i="11"/>
  <c r="E11"/>
  <c r="D96" i="8"/>
  <c r="D98" s="1"/>
  <c r="D18" i="7" s="1"/>
  <c r="D159" i="1"/>
  <c r="D17"/>
  <c r="B17" s="1"/>
  <c r="A17" s="1"/>
  <c r="D150"/>
  <c r="B150" s="1"/>
  <c r="A150" s="1"/>
  <c r="D44" i="15"/>
  <c r="D45" s="1"/>
  <c r="D95"/>
  <c r="D110"/>
  <c r="D189"/>
  <c r="D212"/>
  <c r="D17" i="16"/>
  <c r="B17" s="1"/>
  <c r="A17" s="1"/>
  <c r="D159"/>
  <c r="D13"/>
  <c r="D150"/>
  <c r="B150" s="1"/>
  <c r="A150" s="1"/>
  <c r="D17" i="14"/>
  <c r="B17" s="1"/>
  <c r="A17" s="1"/>
  <c r="D13"/>
  <c r="D159"/>
  <c r="D150"/>
  <c r="B150" s="1"/>
  <c r="A150" s="1"/>
  <c r="E97" i="6"/>
  <c r="E98" s="1"/>
  <c r="C156" i="14"/>
  <c r="C156" i="16"/>
  <c r="C156" i="1"/>
  <c r="C130" i="8"/>
  <c r="C133" s="1"/>
  <c r="C153" i="1"/>
  <c r="C131" i="6"/>
  <c r="C145" s="1"/>
  <c r="C133"/>
  <c r="C55" i="21" s="1"/>
  <c r="D160" i="6"/>
  <c r="D151" i="8"/>
  <c r="D152" s="1"/>
  <c r="D154"/>
  <c r="D155" s="1"/>
  <c r="C155" i="6"/>
  <c r="C156" s="1"/>
  <c r="C154" i="8"/>
  <c r="C155" s="1"/>
  <c r="B6"/>
  <c r="I108" s="1"/>
  <c r="C110"/>
  <c r="C112" s="1"/>
  <c r="E97"/>
  <c r="E98" s="1"/>
  <c r="E18" i="7" s="1"/>
  <c r="E170" s="1"/>
  <c r="C11"/>
  <c r="C153" s="1"/>
  <c r="C95" i="8"/>
  <c r="C98" s="1"/>
  <c r="C18" i="7" s="1"/>
  <c r="C44" i="8"/>
  <c r="C45" s="1"/>
  <c r="C13" i="7" s="1"/>
  <c r="D93" i="15" l="1"/>
  <c r="D93" i="8"/>
  <c r="D16" i="14"/>
  <c r="D168" s="1"/>
  <c r="D16" i="1"/>
  <c r="H169" i="14"/>
  <c r="E168" i="6"/>
  <c r="C93" i="22"/>
  <c r="G169" i="14"/>
  <c r="G169" i="1"/>
  <c r="G5" i="9" s="1"/>
  <c r="G168" i="19"/>
  <c r="F97" i="8"/>
  <c r="F98" s="1"/>
  <c r="F18" i="7" s="1"/>
  <c r="F169" s="1"/>
  <c r="R81" i="6"/>
  <c r="R82" s="1"/>
  <c r="Z81"/>
  <c r="Z82" s="1"/>
  <c r="H169" i="7"/>
  <c r="AD81" i="6"/>
  <c r="AD82" s="1"/>
  <c r="AD83" s="1"/>
  <c r="AD84" s="1"/>
  <c r="O81"/>
  <c r="O82" s="1"/>
  <c r="X81"/>
  <c r="X82" s="1"/>
  <c r="X83" s="1"/>
  <c r="X84" s="1"/>
  <c r="U81"/>
  <c r="U82" s="1"/>
  <c r="AB81"/>
  <c r="AB82" s="1"/>
  <c r="C19" i="19"/>
  <c r="B19" s="1"/>
  <c r="A19" s="1"/>
  <c r="C19" i="21"/>
  <c r="B19" s="1"/>
  <c r="A19" s="1"/>
  <c r="C19" i="14"/>
  <c r="B19" s="1"/>
  <c r="A19" s="1"/>
  <c r="C19" i="16"/>
  <c r="B19" s="1"/>
  <c r="A19" s="1"/>
  <c r="C19" i="1"/>
  <c r="H168" i="14"/>
  <c r="C4" i="9"/>
  <c r="C13" i="21"/>
  <c r="B13" s="1"/>
  <c r="A13" s="1"/>
  <c r="C13" i="19"/>
  <c r="B13" s="1"/>
  <c r="A13" s="1"/>
  <c r="C13" i="16"/>
  <c r="B13" s="1"/>
  <c r="A13" s="1"/>
  <c r="C13" i="14"/>
  <c r="B13" s="1"/>
  <c r="A13" s="1"/>
  <c r="C13" i="1"/>
  <c r="D34" i="22" s="1"/>
  <c r="C34" s="1"/>
  <c r="H41"/>
  <c r="H146" s="1"/>
  <c r="I114" i="8"/>
  <c r="I38" i="7" s="1"/>
  <c r="I39" s="1"/>
  <c r="B11" i="21"/>
  <c r="H8" i="12"/>
  <c r="H18" i="16"/>
  <c r="H168" s="1"/>
  <c r="H18" i="19"/>
  <c r="H168" s="1"/>
  <c r="H18" i="1"/>
  <c r="I30" i="22" s="1"/>
  <c r="I41" s="1"/>
  <c r="I146" s="1"/>
  <c r="H18" i="21"/>
  <c r="C281" i="6"/>
  <c r="H169" i="1"/>
  <c r="H5" i="9" s="1"/>
  <c r="B11" i="19"/>
  <c r="G97" i="8"/>
  <c r="G98" s="1"/>
  <c r="G18" i="7" s="1"/>
  <c r="B18" s="1"/>
  <c r="A18" s="1"/>
  <c r="J41" i="22"/>
  <c r="J146" s="1"/>
  <c r="D281" i="6"/>
  <c r="I170" i="7"/>
  <c r="I16" i="9" s="1"/>
  <c r="E169" i="7"/>
  <c r="F18" i="21"/>
  <c r="F18" i="19"/>
  <c r="F18" i="14"/>
  <c r="F18" i="16"/>
  <c r="F18" i="1"/>
  <c r="E18" i="21"/>
  <c r="E18" i="1"/>
  <c r="E168" s="1"/>
  <c r="E18" i="14"/>
  <c r="E168" s="1"/>
  <c r="E18" i="16"/>
  <c r="E168" s="1"/>
  <c r="E18" i="19"/>
  <c r="C18" i="21"/>
  <c r="C18" i="16"/>
  <c r="C18" i="1"/>
  <c r="C18" i="19"/>
  <c r="C18" i="14"/>
  <c r="E169"/>
  <c r="E40" i="22"/>
  <c r="E41"/>
  <c r="E146" s="1"/>
  <c r="E67"/>
  <c r="E134" s="1"/>
  <c r="D44"/>
  <c r="E29"/>
  <c r="I29"/>
  <c r="G51"/>
  <c r="H44"/>
  <c r="G29"/>
  <c r="F51"/>
  <c r="F29"/>
  <c r="D51"/>
  <c r="D43"/>
  <c r="A15"/>
  <c r="B43"/>
  <c r="H49"/>
  <c r="E44"/>
  <c r="I51"/>
  <c r="J49"/>
  <c r="H29"/>
  <c r="I49"/>
  <c r="E51"/>
  <c r="F49"/>
  <c r="D29"/>
  <c r="E49"/>
  <c r="D49"/>
  <c r="J44"/>
  <c r="J51"/>
  <c r="J29"/>
  <c r="G49"/>
  <c r="H51"/>
  <c r="G44"/>
  <c r="F44"/>
  <c r="I44"/>
  <c r="D122"/>
  <c r="D123" s="1"/>
  <c r="E122"/>
  <c r="E123" s="1"/>
  <c r="C8" i="12"/>
  <c r="D23" i="22"/>
  <c r="D32" s="1"/>
  <c r="C93" i="6" s="1"/>
  <c r="I108"/>
  <c r="I114" s="1"/>
  <c r="I5" i="9"/>
  <c r="I184" i="11"/>
  <c r="I185"/>
  <c r="H185"/>
  <c r="H184"/>
  <c r="H16" i="9"/>
  <c r="G170" i="7"/>
  <c r="G169"/>
  <c r="G185" i="11"/>
  <c r="G184"/>
  <c r="B7" i="21"/>
  <c r="I26" s="1"/>
  <c r="I27" s="1"/>
  <c r="B177"/>
  <c r="V15" i="1" s="1"/>
  <c r="C69" i="21"/>
  <c r="C117" s="1"/>
  <c r="B55"/>
  <c r="A55" s="1"/>
  <c r="D178"/>
  <c r="X16" i="1" s="1"/>
  <c r="F185" i="11"/>
  <c r="F184"/>
  <c r="D168" i="1"/>
  <c r="AE79" i="15"/>
  <c r="U81" s="1"/>
  <c r="U82" s="1"/>
  <c r="B7" i="19"/>
  <c r="I26" s="1"/>
  <c r="I27" s="1"/>
  <c r="B6" i="20"/>
  <c r="C55" i="16"/>
  <c r="B55" s="1"/>
  <c r="A55" s="1"/>
  <c r="C55" i="19"/>
  <c r="B11" i="1"/>
  <c r="B11" i="16"/>
  <c r="D169" i="19"/>
  <c r="D168"/>
  <c r="B7" i="14"/>
  <c r="I26" s="1"/>
  <c r="I27" s="1"/>
  <c r="AE79" i="8"/>
  <c r="B6" i="13"/>
  <c r="B7" i="1"/>
  <c r="I26" s="1"/>
  <c r="I27" s="1"/>
  <c r="C5" i="6"/>
  <c r="C104" s="1"/>
  <c r="B7" i="16"/>
  <c r="I26" s="1"/>
  <c r="I27" s="1"/>
  <c r="B11" i="14"/>
  <c r="E184" i="11"/>
  <c r="D13" i="7"/>
  <c r="B13" s="1"/>
  <c r="A13" s="1"/>
  <c r="D159"/>
  <c r="D150"/>
  <c r="B150" s="1"/>
  <c r="A150" s="1"/>
  <c r="D17"/>
  <c r="B17" s="1"/>
  <c r="A17" s="1"/>
  <c r="D16"/>
  <c r="E185" i="11"/>
  <c r="D96" i="15"/>
  <c r="D98" s="1"/>
  <c r="D18" i="11" s="1"/>
  <c r="D10"/>
  <c r="D16" s="1"/>
  <c r="C110" i="15"/>
  <c r="C112" s="1"/>
  <c r="D11" i="11"/>
  <c r="D112" i="15"/>
  <c r="D169" i="14"/>
  <c r="D168" i="16"/>
  <c r="D213" i="15"/>
  <c r="D151" s="1"/>
  <c r="D152" s="1"/>
  <c r="D159" s="1"/>
  <c r="D160" s="1"/>
  <c r="D214"/>
  <c r="D169" i="16"/>
  <c r="B55" i="11"/>
  <c r="A55" s="1"/>
  <c r="C55" i="14"/>
  <c r="C131" i="8"/>
  <c r="C144" s="1"/>
  <c r="C147" s="1"/>
  <c r="C55" i="7"/>
  <c r="C141" i="8"/>
  <c r="C199" s="1"/>
  <c r="C201" s="1"/>
  <c r="D161" i="6"/>
  <c r="C55" i="1"/>
  <c r="C141" i="6"/>
  <c r="C201" s="1"/>
  <c r="C203" s="1"/>
  <c r="C148"/>
  <c r="C140"/>
  <c r="C208" s="1"/>
  <c r="C210" s="1"/>
  <c r="C211" s="1"/>
  <c r="C212" s="1"/>
  <c r="C151"/>
  <c r="D159" i="8"/>
  <c r="B7" i="7"/>
  <c r="I26" s="1"/>
  <c r="I27" s="1"/>
  <c r="C5" i="8"/>
  <c r="B11" i="7"/>
  <c r="E16" i="9"/>
  <c r="C16" i="21" l="1"/>
  <c r="B16" s="1"/>
  <c r="A16" s="1"/>
  <c r="C16" i="19"/>
  <c r="B16" s="1"/>
  <c r="A16" s="1"/>
  <c r="C93" i="15"/>
  <c r="C16" i="11" s="1"/>
  <c r="B16" s="1"/>
  <c r="A16" s="1"/>
  <c r="C16" i="14"/>
  <c r="B16" s="1"/>
  <c r="A16" s="1"/>
  <c r="C16" i="16"/>
  <c r="B16" s="1"/>
  <c r="A16" s="1"/>
  <c r="C93" i="8"/>
  <c r="C16" i="7" s="1"/>
  <c r="C16" i="1"/>
  <c r="B16" s="1"/>
  <c r="A16" s="1"/>
  <c r="D169"/>
  <c r="D5" i="9" s="1"/>
  <c r="C123" i="22"/>
  <c r="H169" i="19"/>
  <c r="H169" i="16"/>
  <c r="H168" i="1"/>
  <c r="E170" i="6"/>
  <c r="B168"/>
  <c r="A168" s="1"/>
  <c r="C214"/>
  <c r="C205" i="15"/>
  <c r="F168" i="14"/>
  <c r="F169"/>
  <c r="F170" i="7"/>
  <c r="F16" i="9" s="1"/>
  <c r="F168" i="16"/>
  <c r="F169"/>
  <c r="G30" i="22"/>
  <c r="G41" s="1"/>
  <c r="G146" s="1"/>
  <c r="F169" i="1"/>
  <c r="F5" i="9" s="1"/>
  <c r="F168" i="1"/>
  <c r="F169" i="19"/>
  <c r="F168"/>
  <c r="C43" i="20"/>
  <c r="C44" s="1"/>
  <c r="D43"/>
  <c r="N43" i="1" s="1"/>
  <c r="O83" i="6"/>
  <c r="O84" s="1"/>
  <c r="O85" s="1"/>
  <c r="O86" s="1"/>
  <c r="O90" s="1"/>
  <c r="AB83"/>
  <c r="AB84" s="1"/>
  <c r="Z83" s="1"/>
  <c r="Z84" s="1"/>
  <c r="Z85" s="1"/>
  <c r="Z86" s="1"/>
  <c r="AB85" s="1"/>
  <c r="H71" i="20"/>
  <c r="L6" i="1"/>
  <c r="C207" i="15"/>
  <c r="C207" i="8"/>
  <c r="C213" i="6"/>
  <c r="D36" i="22"/>
  <c r="C36" s="1"/>
  <c r="B19" i="1"/>
  <c r="A19" s="1"/>
  <c r="B13"/>
  <c r="A13" s="1"/>
  <c r="I41" i="7"/>
  <c r="I42" s="1"/>
  <c r="B18" i="19"/>
  <c r="A18" s="1"/>
  <c r="E169" i="16"/>
  <c r="B18" i="14"/>
  <c r="A18" s="1"/>
  <c r="C32" i="22"/>
  <c r="B18" i="21"/>
  <c r="A18" s="1"/>
  <c r="B18" i="16"/>
  <c r="A18" s="1"/>
  <c r="E168" i="19"/>
  <c r="E169"/>
  <c r="F30" i="22"/>
  <c r="F41" s="1"/>
  <c r="F146" s="1"/>
  <c r="E169" i="1"/>
  <c r="E5" i="9" s="1"/>
  <c r="D30" i="22"/>
  <c r="B18" i="1"/>
  <c r="A18" s="1"/>
  <c r="C23" i="22"/>
  <c r="I41" i="14"/>
  <c r="I42" s="1"/>
  <c r="I38" i="21"/>
  <c r="I39" s="1"/>
  <c r="I41" i="19"/>
  <c r="I42" s="1"/>
  <c r="I38" i="16"/>
  <c r="I39" s="1"/>
  <c r="I41"/>
  <c r="I42" s="1"/>
  <c r="I38" i="1"/>
  <c r="I39" s="1"/>
  <c r="I41" i="21"/>
  <c r="I42" s="1"/>
  <c r="I38" i="19"/>
  <c r="I39" s="1"/>
  <c r="I38" i="14"/>
  <c r="I39" s="1"/>
  <c r="I41" i="1"/>
  <c r="I42" s="1"/>
  <c r="G16" i="9"/>
  <c r="B26" i="19"/>
  <c r="F26" s="1"/>
  <c r="F27" s="1"/>
  <c r="B26" i="21"/>
  <c r="G26" s="1"/>
  <c r="G27" s="1"/>
  <c r="C54"/>
  <c r="C168" s="1"/>
  <c r="D109"/>
  <c r="G71" i="20"/>
  <c r="D71"/>
  <c r="E71"/>
  <c r="C71"/>
  <c r="D186" i="15"/>
  <c r="D187" s="1"/>
  <c r="D188" s="1"/>
  <c r="D142" i="11" s="1"/>
  <c r="D128"/>
  <c r="D170" i="15"/>
  <c r="D171" s="1"/>
  <c r="D134" i="11" s="1"/>
  <c r="D148" i="15"/>
  <c r="D161"/>
  <c r="D162" s="1"/>
  <c r="D163" s="1"/>
  <c r="D101" i="11" s="1"/>
  <c r="B103" i="20"/>
  <c r="H99" s="1"/>
  <c r="D103"/>
  <c r="H100" s="1"/>
  <c r="F93"/>
  <c r="H98" s="1"/>
  <c r="F103"/>
  <c r="H101" s="1"/>
  <c r="B93"/>
  <c r="H96" s="1"/>
  <c r="D93"/>
  <c r="H97" s="1"/>
  <c r="R81" i="15"/>
  <c r="R82" s="1"/>
  <c r="L81"/>
  <c r="L82" s="1"/>
  <c r="X81"/>
  <c r="X82" s="1"/>
  <c r="X83" s="1"/>
  <c r="X84" s="1"/>
  <c r="AD81"/>
  <c r="AD82" s="1"/>
  <c r="AD83" s="1"/>
  <c r="AD84" s="1"/>
  <c r="O81"/>
  <c r="O83" s="1"/>
  <c r="O84" s="1"/>
  <c r="O85" s="1"/>
  <c r="O86" s="1"/>
  <c r="Z81"/>
  <c r="Z82" s="1"/>
  <c r="AB81"/>
  <c r="AB82" s="1"/>
  <c r="C70" i="16"/>
  <c r="C118" s="1"/>
  <c r="C54" i="19"/>
  <c r="C115" s="1"/>
  <c r="C70"/>
  <c r="C118" s="1"/>
  <c r="B55"/>
  <c r="A55" s="1"/>
  <c r="D110"/>
  <c r="C115" i="6"/>
  <c r="B43" i="21" s="1"/>
  <c r="I43" s="1"/>
  <c r="I44" s="1"/>
  <c r="C106" i="6"/>
  <c r="B34" i="21" s="1"/>
  <c r="I34" s="1"/>
  <c r="I35" s="1"/>
  <c r="C107" i="6"/>
  <c r="H108" s="1"/>
  <c r="H114" s="1"/>
  <c r="H41" i="19" s="1"/>
  <c r="H42" s="1"/>
  <c r="D26"/>
  <c r="D27" s="1"/>
  <c r="C103" i="6"/>
  <c r="B25" i="21" s="1"/>
  <c r="C105" i="6"/>
  <c r="B30" i="21" s="1"/>
  <c r="I30" s="1"/>
  <c r="I31" s="1"/>
  <c r="C102" i="6"/>
  <c r="B21" i="21" s="1"/>
  <c r="I21" s="1"/>
  <c r="I22" s="1"/>
  <c r="U81" i="8"/>
  <c r="U82" s="1"/>
  <c r="R81"/>
  <c r="R82" s="1"/>
  <c r="AD81"/>
  <c r="AD82" s="1"/>
  <c r="AD83" s="1"/>
  <c r="AD84" s="1"/>
  <c r="L81"/>
  <c r="L82" s="1"/>
  <c r="AB81"/>
  <c r="AB82" s="1"/>
  <c r="Z81"/>
  <c r="Z82" s="1"/>
  <c r="O81"/>
  <c r="O82" s="1"/>
  <c r="X81"/>
  <c r="X82" s="1"/>
  <c r="X83" s="1"/>
  <c r="X84" s="1"/>
  <c r="B26" i="16"/>
  <c r="G26" s="1"/>
  <c r="G27" s="1"/>
  <c r="B26" i="14"/>
  <c r="G26" s="1"/>
  <c r="G27" s="1"/>
  <c r="B16" i="7"/>
  <c r="A16" s="1"/>
  <c r="D170"/>
  <c r="D16" i="9" s="1"/>
  <c r="D169" i="7"/>
  <c r="B6" i="15"/>
  <c r="I108" s="1"/>
  <c r="I114" s="1"/>
  <c r="D17" i="11"/>
  <c r="B17" s="1"/>
  <c r="A17" s="1"/>
  <c r="D172"/>
  <c r="B172" s="1"/>
  <c r="A172" s="1"/>
  <c r="D13"/>
  <c r="D175"/>
  <c r="C11"/>
  <c r="B11" s="1"/>
  <c r="C95" i="15"/>
  <c r="C98" s="1"/>
  <c r="C18" i="11" s="1"/>
  <c r="B18" s="1"/>
  <c r="A18" s="1"/>
  <c r="C44" i="15"/>
  <c r="C45" s="1"/>
  <c r="C13" i="11" s="1"/>
  <c r="C54" i="16"/>
  <c r="C115" s="1"/>
  <c r="D110"/>
  <c r="C54" i="14"/>
  <c r="C115" s="1"/>
  <c r="D110" i="1"/>
  <c r="D110" i="14"/>
  <c r="C70"/>
  <c r="B55"/>
  <c r="A55" s="1"/>
  <c r="C150" i="8"/>
  <c r="C140"/>
  <c r="C54" i="7" s="1"/>
  <c r="B55"/>
  <c r="A55" s="1"/>
  <c r="C70"/>
  <c r="D188" i="6"/>
  <c r="B26" i="1"/>
  <c r="G26" s="1"/>
  <c r="G27" s="1"/>
  <c r="C102" i="8"/>
  <c r="B21" i="7" s="1"/>
  <c r="C107" i="8"/>
  <c r="C104"/>
  <c r="B26" i="7" s="1"/>
  <c r="G26" s="1"/>
  <c r="G27" s="1"/>
  <c r="D172" i="6"/>
  <c r="D173" s="1"/>
  <c r="D113" i="21" s="1"/>
  <c r="D149" i="6"/>
  <c r="D189"/>
  <c r="D190" s="1"/>
  <c r="D162"/>
  <c r="D163" s="1"/>
  <c r="D164" s="1"/>
  <c r="D88" i="19" s="1"/>
  <c r="B55" i="1"/>
  <c r="A55" s="1"/>
  <c r="C70"/>
  <c r="C54"/>
  <c r="C115" s="1"/>
  <c r="D160" i="8"/>
  <c r="D161" s="1"/>
  <c r="D162" s="1"/>
  <c r="D163" s="1"/>
  <c r="C106"/>
  <c r="B34" i="7" s="1"/>
  <c r="C115" i="8"/>
  <c r="B43" i="7" s="1"/>
  <c r="C105" i="8"/>
  <c r="B30" i="7" s="1"/>
  <c r="C103" i="8"/>
  <c r="B25" i="7" s="1"/>
  <c r="C25" s="1"/>
  <c r="B109"/>
  <c r="A109" s="1"/>
  <c r="B109" i="1"/>
  <c r="A109" s="1"/>
  <c r="H26" i="21" l="1"/>
  <c r="H27" s="1"/>
  <c r="G108" i="8"/>
  <c r="G114" s="1"/>
  <c r="G41" i="7" s="1"/>
  <c r="G42" s="1"/>
  <c r="H108" i="8"/>
  <c r="H114" s="1"/>
  <c r="H26" i="16"/>
  <c r="H27" s="1"/>
  <c r="H26" i="1"/>
  <c r="H27" s="1"/>
  <c r="H26" i="14"/>
  <c r="H27" s="1"/>
  <c r="H38" i="16"/>
  <c r="H39" s="1"/>
  <c r="H38" i="21"/>
  <c r="H39" s="1"/>
  <c r="H41" i="1"/>
  <c r="H42" s="1"/>
  <c r="H41" i="21"/>
  <c r="H42" s="1"/>
  <c r="H26" i="19"/>
  <c r="H27" s="1"/>
  <c r="H26" i="7"/>
  <c r="H27" s="1"/>
  <c r="H38" i="1"/>
  <c r="H39" s="1"/>
  <c r="H38" i="19"/>
  <c r="H39" s="1"/>
  <c r="H41" i="14"/>
  <c r="H42" s="1"/>
  <c r="H41" i="16"/>
  <c r="H42" s="1"/>
  <c r="H38" i="14"/>
  <c r="H39" s="1"/>
  <c r="E59" i="21"/>
  <c r="B59" s="1"/>
  <c r="A59" s="1"/>
  <c r="E59" i="19"/>
  <c r="B59" s="1"/>
  <c r="A59" s="1"/>
  <c r="E59" i="16"/>
  <c r="B59" s="1"/>
  <c r="A59" s="1"/>
  <c r="E59" i="14"/>
  <c r="B59" s="1"/>
  <c r="A59" s="1"/>
  <c r="E59" i="1"/>
  <c r="B59" s="1"/>
  <c r="A59" s="1"/>
  <c r="C191" i="6"/>
  <c r="D127" i="22"/>
  <c r="C206" i="15"/>
  <c r="C208" s="1"/>
  <c r="C209" s="1"/>
  <c r="C210" s="1"/>
  <c r="C211" s="1"/>
  <c r="C206" i="8"/>
  <c r="C208" s="1"/>
  <c r="C209" s="1"/>
  <c r="C210" s="1"/>
  <c r="C211" s="1"/>
  <c r="G26" i="19"/>
  <c r="G27" s="1"/>
  <c r="E108" i="6"/>
  <c r="E114" s="1"/>
  <c r="E41" i="16" s="1"/>
  <c r="E42" s="1"/>
  <c r="G108" i="6"/>
  <c r="G114" s="1"/>
  <c r="G38" i="7"/>
  <c r="G39" s="1"/>
  <c r="B43" i="20"/>
  <c r="L43" i="1" s="1"/>
  <c r="M43"/>
  <c r="D44" i="20"/>
  <c r="D45" s="1"/>
  <c r="U83" i="6"/>
  <c r="U84" s="1"/>
  <c r="U85" s="1"/>
  <c r="U90" s="1"/>
  <c r="Z87" s="1"/>
  <c r="Z88" s="1"/>
  <c r="L83"/>
  <c r="L84" s="1"/>
  <c r="L85" s="1"/>
  <c r="L90" s="1"/>
  <c r="B168" i="21"/>
  <c r="V6" i="1" s="1"/>
  <c r="W6"/>
  <c r="R83" i="6"/>
  <c r="R84" s="1"/>
  <c r="R90" s="1"/>
  <c r="AB86"/>
  <c r="AB87" s="1"/>
  <c r="AB88" s="1"/>
  <c r="C45" i="20"/>
  <c r="M44" i="1"/>
  <c r="C30" i="22"/>
  <c r="AB83" i="8"/>
  <c r="AB84" s="1"/>
  <c r="Z83" s="1"/>
  <c r="Z84" s="1"/>
  <c r="Z85" s="1"/>
  <c r="Z86" s="1"/>
  <c r="AB83" i="15"/>
  <c r="AB84" s="1"/>
  <c r="Z83" s="1"/>
  <c r="Z84" s="1"/>
  <c r="Z85" s="1"/>
  <c r="Z86" s="1"/>
  <c r="H30" i="7"/>
  <c r="H31" s="1"/>
  <c r="I30"/>
  <c r="I31" s="1"/>
  <c r="H43"/>
  <c r="H44" s="1"/>
  <c r="I43"/>
  <c r="I44" s="1"/>
  <c r="H34"/>
  <c r="H35" s="1"/>
  <c r="I34"/>
  <c r="I35" s="1"/>
  <c r="H21"/>
  <c r="H22" s="1"/>
  <c r="I21"/>
  <c r="I22" s="1"/>
  <c r="I38" i="11"/>
  <c r="I39" s="1"/>
  <c r="I41"/>
  <c r="I42" s="1"/>
  <c r="G21" i="21"/>
  <c r="G22" s="1"/>
  <c r="H21"/>
  <c r="H22" s="1"/>
  <c r="G43"/>
  <c r="G44" s="1"/>
  <c r="H43"/>
  <c r="H44" s="1"/>
  <c r="G30"/>
  <c r="G31" s="1"/>
  <c r="H30"/>
  <c r="H31" s="1"/>
  <c r="G34"/>
  <c r="G35" s="1"/>
  <c r="H34"/>
  <c r="H35" s="1"/>
  <c r="C30" i="7"/>
  <c r="C31" s="1"/>
  <c r="G30"/>
  <c r="G31" s="1"/>
  <c r="C43"/>
  <c r="C44" s="1"/>
  <c r="G43"/>
  <c r="G44" s="1"/>
  <c r="C34"/>
  <c r="C35" s="1"/>
  <c r="G34"/>
  <c r="G35" s="1"/>
  <c r="C21"/>
  <c r="C22" s="1"/>
  <c r="G21"/>
  <c r="G22" s="1"/>
  <c r="C26" i="19"/>
  <c r="C27" s="1"/>
  <c r="F21" i="7"/>
  <c r="F22" s="1"/>
  <c r="E26" i="19"/>
  <c r="E27" s="1"/>
  <c r="F43" i="7"/>
  <c r="F44" s="1"/>
  <c r="F34"/>
  <c r="F35" s="1"/>
  <c r="F30"/>
  <c r="F31" s="1"/>
  <c r="D108" i="8"/>
  <c r="D114" s="1"/>
  <c r="D38" i="7" s="1"/>
  <c r="D39" s="1"/>
  <c r="F108" i="8"/>
  <c r="F114" s="1"/>
  <c r="E26" i="14"/>
  <c r="E27" s="1"/>
  <c r="F26"/>
  <c r="F27" s="1"/>
  <c r="D21" i="21"/>
  <c r="D22" s="1"/>
  <c r="F21"/>
  <c r="F22" s="1"/>
  <c r="D26"/>
  <c r="D27" s="1"/>
  <c r="F26"/>
  <c r="F27" s="1"/>
  <c r="E26" i="16"/>
  <c r="E27" s="1"/>
  <c r="F26"/>
  <c r="F27" s="1"/>
  <c r="D30" i="21"/>
  <c r="D31" s="1"/>
  <c r="F30"/>
  <c r="F31" s="1"/>
  <c r="D108" i="6"/>
  <c r="D114" s="1"/>
  <c r="D41" i="14" s="1"/>
  <c r="D42" s="1"/>
  <c r="F108" i="6"/>
  <c r="F114" s="1"/>
  <c r="D43" i="21"/>
  <c r="D44" s="1"/>
  <c r="F43"/>
  <c r="F44" s="1"/>
  <c r="C26" i="7"/>
  <c r="C27" s="1"/>
  <c r="F26"/>
  <c r="F27" s="1"/>
  <c r="D26" i="1"/>
  <c r="D27" s="1"/>
  <c r="F26"/>
  <c r="F27" s="1"/>
  <c r="D34" i="21"/>
  <c r="D35" s="1"/>
  <c r="F34"/>
  <c r="F35" s="1"/>
  <c r="E26"/>
  <c r="E27" s="1"/>
  <c r="C26"/>
  <c r="C27" s="1"/>
  <c r="C43"/>
  <c r="C44" s="1"/>
  <c r="E43"/>
  <c r="E44" s="1"/>
  <c r="C34"/>
  <c r="C35" s="1"/>
  <c r="E34"/>
  <c r="E35" s="1"/>
  <c r="C21"/>
  <c r="C22" s="1"/>
  <c r="E21"/>
  <c r="E22" s="1"/>
  <c r="C30"/>
  <c r="C31" s="1"/>
  <c r="E30"/>
  <c r="E31" s="1"/>
  <c r="B217"/>
  <c r="D217" s="1"/>
  <c r="B218"/>
  <c r="D218" s="1"/>
  <c r="B54"/>
  <c r="D92"/>
  <c r="D70"/>
  <c r="D98"/>
  <c r="D87"/>
  <c r="D76"/>
  <c r="D104"/>
  <c r="C25"/>
  <c r="D25"/>
  <c r="G25"/>
  <c r="I25"/>
  <c r="E25"/>
  <c r="H25"/>
  <c r="F25"/>
  <c r="D110"/>
  <c r="D119"/>
  <c r="D129" i="11"/>
  <c r="D94"/>
  <c r="D86"/>
  <c r="D108"/>
  <c r="D122"/>
  <c r="D78"/>
  <c r="D115"/>
  <c r="B204" i="7"/>
  <c r="D204" s="1"/>
  <c r="C115"/>
  <c r="C108" i="6"/>
  <c r="C114" s="1"/>
  <c r="C38" i="16" s="1"/>
  <c r="B19" i="20"/>
  <c r="L83" i="15"/>
  <c r="O82"/>
  <c r="O90" s="1"/>
  <c r="U83"/>
  <c r="B21" i="19"/>
  <c r="B43"/>
  <c r="I43" s="1"/>
  <c r="I44" s="1"/>
  <c r="B30"/>
  <c r="B34"/>
  <c r="I34" s="1"/>
  <c r="I35" s="1"/>
  <c r="B25" i="14"/>
  <c r="C25" s="1"/>
  <c r="B188" i="19"/>
  <c r="D188" s="1"/>
  <c r="B189"/>
  <c r="D189" s="1"/>
  <c r="B54"/>
  <c r="B30" i="14"/>
  <c r="B25" i="1"/>
  <c r="E25" s="1"/>
  <c r="B34" i="16"/>
  <c r="D114"/>
  <c r="D114" i="19"/>
  <c r="D71"/>
  <c r="D77"/>
  <c r="D93"/>
  <c r="D99"/>
  <c r="D83"/>
  <c r="D105"/>
  <c r="B43" i="1"/>
  <c r="I43" s="1"/>
  <c r="I44" s="1"/>
  <c r="B30"/>
  <c r="B30" i="16"/>
  <c r="B34" i="1"/>
  <c r="I34" s="1"/>
  <c r="I35" s="1"/>
  <c r="B43" i="14"/>
  <c r="B43" i="16"/>
  <c r="B34" i="14"/>
  <c r="I34" s="1"/>
  <c r="I35" s="1"/>
  <c r="B21" i="16"/>
  <c r="B21" i="1"/>
  <c r="I21" s="1"/>
  <c r="I22" s="1"/>
  <c r="B21" i="14"/>
  <c r="I21" s="1"/>
  <c r="I22" s="1"/>
  <c r="D120" i="19"/>
  <c r="D111"/>
  <c r="B25" i="16"/>
  <c r="I25" s="1"/>
  <c r="B25" i="19"/>
  <c r="D26" i="7"/>
  <c r="D27" s="1"/>
  <c r="O83" i="8"/>
  <c r="O84" s="1"/>
  <c r="U83" s="1"/>
  <c r="C26" i="14"/>
  <c r="C27" s="1"/>
  <c r="D26"/>
  <c r="D27" s="1"/>
  <c r="C26" i="16"/>
  <c r="C27" s="1"/>
  <c r="D26"/>
  <c r="D27" s="1"/>
  <c r="D184" i="11"/>
  <c r="D185"/>
  <c r="B7"/>
  <c r="I26" s="1"/>
  <c r="I27" s="1"/>
  <c r="C5" i="15"/>
  <c r="B13" i="11"/>
  <c r="A13" s="1"/>
  <c r="D21" i="7"/>
  <c r="D22" s="1"/>
  <c r="C215" i="6"/>
  <c r="D111" i="1"/>
  <c r="D105" i="16"/>
  <c r="D120"/>
  <c r="D111"/>
  <c r="D88"/>
  <c r="D77"/>
  <c r="D93"/>
  <c r="D83"/>
  <c r="D99"/>
  <c r="B54"/>
  <c r="B189"/>
  <c r="D189" s="1"/>
  <c r="B188"/>
  <c r="D188" s="1"/>
  <c r="D71"/>
  <c r="C118" i="14"/>
  <c r="D105"/>
  <c r="D93"/>
  <c r="B188"/>
  <c r="D188" s="1"/>
  <c r="B189"/>
  <c r="D189" s="1"/>
  <c r="B54"/>
  <c r="D120" i="1"/>
  <c r="D120" i="14"/>
  <c r="D71"/>
  <c r="D99"/>
  <c r="D77"/>
  <c r="D83"/>
  <c r="D114"/>
  <c r="D88"/>
  <c r="D111"/>
  <c r="B251" i="11"/>
  <c r="D251" s="1"/>
  <c r="D265"/>
  <c r="D266"/>
  <c r="D275"/>
  <c r="D276"/>
  <c r="D270"/>
  <c r="D271"/>
  <c r="D281"/>
  <c r="D280"/>
  <c r="B54" i="7"/>
  <c r="B203"/>
  <c r="D203" s="1"/>
  <c r="D114" i="1"/>
  <c r="D99"/>
  <c r="E21" i="7"/>
  <c r="E22" s="1"/>
  <c r="D110"/>
  <c r="D71" i="1"/>
  <c r="D77"/>
  <c r="D93"/>
  <c r="C118" i="7"/>
  <c r="D170" i="8"/>
  <c r="D171" s="1"/>
  <c r="D114" i="7" s="1"/>
  <c r="E43"/>
  <c r="E44" s="1"/>
  <c r="E26"/>
  <c r="E27" s="1"/>
  <c r="E34"/>
  <c r="E35" s="1"/>
  <c r="C108" i="8"/>
  <c r="C114" s="1"/>
  <c r="E108"/>
  <c r="E114" s="1"/>
  <c r="E26" i="1"/>
  <c r="E27" s="1"/>
  <c r="C26"/>
  <c r="C27" s="1"/>
  <c r="B204" i="11"/>
  <c r="D204" s="1"/>
  <c r="B205"/>
  <c r="D205" s="1"/>
  <c r="B54"/>
  <c r="D88" i="1"/>
  <c r="D105"/>
  <c r="C118"/>
  <c r="B188"/>
  <c r="D188" s="1"/>
  <c r="B54"/>
  <c r="B189"/>
  <c r="D189" s="1"/>
  <c r="D186" i="8"/>
  <c r="D148"/>
  <c r="D105" i="7" s="1"/>
  <c r="D187" i="8"/>
  <c r="D188" s="1"/>
  <c r="D120" i="7" s="1"/>
  <c r="D88"/>
  <c r="D77"/>
  <c r="E30"/>
  <c r="E31" s="1"/>
  <c r="D34"/>
  <c r="D35" s="1"/>
  <c r="D71"/>
  <c r="D93"/>
  <c r="D30"/>
  <c r="D31" s="1"/>
  <c r="D99"/>
  <c r="D43"/>
  <c r="D44" s="1"/>
  <c r="F25"/>
  <c r="D25"/>
  <c r="H25"/>
  <c r="G25"/>
  <c r="I25"/>
  <c r="E25"/>
  <c r="H41" l="1"/>
  <c r="H42" s="1"/>
  <c r="H38"/>
  <c r="H39" s="1"/>
  <c r="C189" i="8"/>
  <c r="C212"/>
  <c r="C213" s="1"/>
  <c r="C151" s="1"/>
  <c r="C152" s="1"/>
  <c r="C159" s="1"/>
  <c r="C189" i="15"/>
  <c r="C212"/>
  <c r="C214" s="1"/>
  <c r="C157" s="1"/>
  <c r="C158" s="1"/>
  <c r="D130" i="22"/>
  <c r="D132"/>
  <c r="D133"/>
  <c r="D131"/>
  <c r="D41" i="1"/>
  <c r="D42" s="1"/>
  <c r="E38"/>
  <c r="E39" s="1"/>
  <c r="E38" i="16"/>
  <c r="E39" s="1"/>
  <c r="E38" i="14"/>
  <c r="E39" s="1"/>
  <c r="E38" i="19"/>
  <c r="E39" s="1"/>
  <c r="E41" i="1"/>
  <c r="E42" s="1"/>
  <c r="E41" i="14"/>
  <c r="E42" s="1"/>
  <c r="G38" i="16"/>
  <c r="G39" s="1"/>
  <c r="G41" i="1"/>
  <c r="G42" s="1"/>
  <c r="G38" i="19"/>
  <c r="G39" s="1"/>
  <c r="G38" i="21"/>
  <c r="G39" s="1"/>
  <c r="G41" i="14"/>
  <c r="G42" s="1"/>
  <c r="G38"/>
  <c r="G39" s="1"/>
  <c r="G38" i="1"/>
  <c r="G39" s="1"/>
  <c r="G41" i="19"/>
  <c r="G42" s="1"/>
  <c r="G41" i="21"/>
  <c r="G42" s="1"/>
  <c r="G41" i="16"/>
  <c r="G42" s="1"/>
  <c r="E41" i="19"/>
  <c r="E42" s="1"/>
  <c r="E38" i="21"/>
  <c r="E39" s="1"/>
  <c r="E41"/>
  <c r="E42" s="1"/>
  <c r="A43" i="20"/>
  <c r="K43" i="1" s="1"/>
  <c r="N44"/>
  <c r="E169" i="21"/>
  <c r="Y7" i="1" s="1"/>
  <c r="I169" i="21"/>
  <c r="AC7" i="1" s="1"/>
  <c r="H169" i="21"/>
  <c r="AB7" i="1" s="1"/>
  <c r="G169" i="21"/>
  <c r="AA7" i="1" s="1"/>
  <c r="F169" i="21"/>
  <c r="Z7" i="1" s="1"/>
  <c r="Z89" i="6"/>
  <c r="AB90" s="1"/>
  <c r="AD90" s="1"/>
  <c r="D46" i="20"/>
  <c r="N46" i="1" s="1"/>
  <c r="N45"/>
  <c r="C46" i="20"/>
  <c r="M46" i="1" s="1"/>
  <c r="M45"/>
  <c r="B20" i="20"/>
  <c r="L20" i="1" s="1"/>
  <c r="L19"/>
  <c r="AB86" i="15"/>
  <c r="AB87" s="1"/>
  <c r="AB85" i="8"/>
  <c r="AB86" s="1"/>
  <c r="AB87" s="1"/>
  <c r="AB88" s="1"/>
  <c r="R83"/>
  <c r="R84" s="1"/>
  <c r="R90" s="1"/>
  <c r="U84"/>
  <c r="U85" s="1"/>
  <c r="U90" s="1"/>
  <c r="Z87" s="1"/>
  <c r="Z88" s="1"/>
  <c r="AB85" i="15"/>
  <c r="R83"/>
  <c r="R84" s="1"/>
  <c r="R90" s="1"/>
  <c r="L84"/>
  <c r="L85" s="1"/>
  <c r="L90" s="1"/>
  <c r="U84"/>
  <c r="U85" s="1"/>
  <c r="U90" s="1"/>
  <c r="Z87" s="1"/>
  <c r="Z88" s="1"/>
  <c r="H43" i="16"/>
  <c r="H44" s="1"/>
  <c r="I43"/>
  <c r="I44" s="1"/>
  <c r="H30" i="1"/>
  <c r="H31" s="1"/>
  <c r="I30"/>
  <c r="I31" s="1"/>
  <c r="H30" i="14"/>
  <c r="H31" s="1"/>
  <c r="I30"/>
  <c r="I31" s="1"/>
  <c r="H21" i="19"/>
  <c r="H22" s="1"/>
  <c r="I21"/>
  <c r="I22" s="1"/>
  <c r="H21" i="16"/>
  <c r="H22" s="1"/>
  <c r="I21"/>
  <c r="I22" s="1"/>
  <c r="H43" i="14"/>
  <c r="H44" s="1"/>
  <c r="I43"/>
  <c r="I44" s="1"/>
  <c r="H34" i="16"/>
  <c r="H35" s="1"/>
  <c r="I34"/>
  <c r="I35" s="1"/>
  <c r="H30" i="19"/>
  <c r="H31" s="1"/>
  <c r="I30"/>
  <c r="I31" s="1"/>
  <c r="H30" i="16"/>
  <c r="H31" s="1"/>
  <c r="I30"/>
  <c r="I31" s="1"/>
  <c r="G21" i="1"/>
  <c r="G22" s="1"/>
  <c r="H21"/>
  <c r="H22" s="1"/>
  <c r="G43"/>
  <c r="G44" s="1"/>
  <c r="H43"/>
  <c r="H44" s="1"/>
  <c r="G34" i="19"/>
  <c r="G35" s="1"/>
  <c r="H34"/>
  <c r="H35" s="1"/>
  <c r="G34" i="1"/>
  <c r="G35" s="1"/>
  <c r="H34"/>
  <c r="H35" s="1"/>
  <c r="G21" i="14"/>
  <c r="G22" s="1"/>
  <c r="H21"/>
  <c r="H22" s="1"/>
  <c r="G34"/>
  <c r="G35" s="1"/>
  <c r="H34"/>
  <c r="H35" s="1"/>
  <c r="G43" i="19"/>
  <c r="G44" s="1"/>
  <c r="H43"/>
  <c r="H44" s="1"/>
  <c r="D30" i="16"/>
  <c r="D31" s="1"/>
  <c r="G30"/>
  <c r="G31" s="1"/>
  <c r="D43"/>
  <c r="D44" s="1"/>
  <c r="G43"/>
  <c r="G44" s="1"/>
  <c r="D30" i="1"/>
  <c r="D31" s="1"/>
  <c r="G30"/>
  <c r="G31" s="1"/>
  <c r="D30" i="14"/>
  <c r="D31" s="1"/>
  <c r="G30"/>
  <c r="G31" s="1"/>
  <c r="D21" i="19"/>
  <c r="D22" s="1"/>
  <c r="G21"/>
  <c r="G22" s="1"/>
  <c r="D21" i="16"/>
  <c r="D22" s="1"/>
  <c r="G21"/>
  <c r="G22" s="1"/>
  <c r="D43" i="14"/>
  <c r="D44" s="1"/>
  <c r="G43"/>
  <c r="G44" s="1"/>
  <c r="D34" i="16"/>
  <c r="D35" s="1"/>
  <c r="G34"/>
  <c r="G35" s="1"/>
  <c r="D30" i="19"/>
  <c r="D31" s="1"/>
  <c r="G30"/>
  <c r="G31" s="1"/>
  <c r="K27"/>
  <c r="B27"/>
  <c r="F28" s="1"/>
  <c r="F29" s="1"/>
  <c r="D41" i="7"/>
  <c r="D42" s="1"/>
  <c r="C38" i="1"/>
  <c r="C39" s="1"/>
  <c r="D38" i="14"/>
  <c r="D39" s="1"/>
  <c r="D41" i="16"/>
  <c r="D42" s="1"/>
  <c r="C41"/>
  <c r="D38"/>
  <c r="D39" s="1"/>
  <c r="D38" i="1"/>
  <c r="D39" s="1"/>
  <c r="D38" i="21"/>
  <c r="D39" s="1"/>
  <c r="E21" i="16"/>
  <c r="E22" s="1"/>
  <c r="F21"/>
  <c r="F22" s="1"/>
  <c r="E43"/>
  <c r="E44" s="1"/>
  <c r="F43"/>
  <c r="F44" s="1"/>
  <c r="C30" i="1"/>
  <c r="C31" s="1"/>
  <c r="F30"/>
  <c r="F31" s="1"/>
  <c r="E30" i="14"/>
  <c r="E31" s="1"/>
  <c r="F30"/>
  <c r="F31" s="1"/>
  <c r="D38" i="19"/>
  <c r="D39" s="1"/>
  <c r="E43"/>
  <c r="E44" s="1"/>
  <c r="F43"/>
  <c r="F44" s="1"/>
  <c r="F41" i="21"/>
  <c r="F42" s="1"/>
  <c r="F38" i="16"/>
  <c r="F39" s="1"/>
  <c r="F41" i="14"/>
  <c r="F42" s="1"/>
  <c r="F38" i="1"/>
  <c r="F39" s="1"/>
  <c r="F38" i="19"/>
  <c r="F39" s="1"/>
  <c r="F38" i="21"/>
  <c r="F39" s="1"/>
  <c r="F41" i="16"/>
  <c r="F42" s="1"/>
  <c r="F38" i="14"/>
  <c r="F39" s="1"/>
  <c r="F41" i="19"/>
  <c r="F42" s="1"/>
  <c r="F41" i="1"/>
  <c r="F42" s="1"/>
  <c r="F41" i="7"/>
  <c r="F42" s="1"/>
  <c r="F38"/>
  <c r="F39" s="1"/>
  <c r="E43" i="14"/>
  <c r="E44" s="1"/>
  <c r="F43"/>
  <c r="F44" s="1"/>
  <c r="D43" i="1"/>
  <c r="D44" s="1"/>
  <c r="F43"/>
  <c r="F44" s="1"/>
  <c r="C21" i="19"/>
  <c r="C22" s="1"/>
  <c r="F21"/>
  <c r="F22" s="1"/>
  <c r="E21" i="14"/>
  <c r="E22" s="1"/>
  <c r="F21"/>
  <c r="F22" s="1"/>
  <c r="C34" i="1"/>
  <c r="C35" s="1"/>
  <c r="F34"/>
  <c r="F35" s="1"/>
  <c r="E34" i="16"/>
  <c r="E35" s="1"/>
  <c r="F34"/>
  <c r="F35" s="1"/>
  <c r="E34" i="19"/>
  <c r="E35" s="1"/>
  <c r="F34"/>
  <c r="F35" s="1"/>
  <c r="D41" i="21"/>
  <c r="D42" s="1"/>
  <c r="D21" i="1"/>
  <c r="D22" s="1"/>
  <c r="F21"/>
  <c r="F22" s="1"/>
  <c r="E34" i="14"/>
  <c r="E35" s="1"/>
  <c r="F34"/>
  <c r="F35" s="1"/>
  <c r="E30" i="16"/>
  <c r="E31" s="1"/>
  <c r="F30"/>
  <c r="F31" s="1"/>
  <c r="C30" i="19"/>
  <c r="C31" s="1"/>
  <c r="F30"/>
  <c r="F31" s="1"/>
  <c r="D41"/>
  <c r="D42" s="1"/>
  <c r="D34" i="14"/>
  <c r="D35" s="1"/>
  <c r="D34" i="1"/>
  <c r="D35" s="1"/>
  <c r="E21" i="19"/>
  <c r="E22" s="1"/>
  <c r="K27" i="21"/>
  <c r="B27"/>
  <c r="K31"/>
  <c r="K35"/>
  <c r="B44"/>
  <c r="H45" s="1"/>
  <c r="H46" s="1"/>
  <c r="E21" i="1"/>
  <c r="E22" s="1"/>
  <c r="K22" i="21"/>
  <c r="B22"/>
  <c r="G23" s="1"/>
  <c r="G24" s="1"/>
  <c r="B31"/>
  <c r="I32" s="1"/>
  <c r="I33" s="1"/>
  <c r="B35"/>
  <c r="F36" s="1"/>
  <c r="F37" s="1"/>
  <c r="K44"/>
  <c r="D219"/>
  <c r="C115" s="1"/>
  <c r="C41" i="14"/>
  <c r="C42" s="1"/>
  <c r="D77" i="21"/>
  <c r="C41" i="19"/>
  <c r="C42" s="1"/>
  <c r="C38" i="21"/>
  <c r="C41"/>
  <c r="D111"/>
  <c r="D112" s="1"/>
  <c r="D205" i="7"/>
  <c r="C116" s="1"/>
  <c r="D130" i="11"/>
  <c r="D131" s="1"/>
  <c r="D87"/>
  <c r="E30" i="19"/>
  <c r="E31" s="1"/>
  <c r="C41" i="1"/>
  <c r="C42" s="1"/>
  <c r="C38" i="14"/>
  <c r="C39" s="1"/>
  <c r="C38" i="19"/>
  <c r="C34"/>
  <c r="C35" s="1"/>
  <c r="D34"/>
  <c r="D35" s="1"/>
  <c r="C43"/>
  <c r="C44" s="1"/>
  <c r="D43"/>
  <c r="D44" s="1"/>
  <c r="F25" i="14"/>
  <c r="G25"/>
  <c r="H25"/>
  <c r="D25"/>
  <c r="I25"/>
  <c r="E25"/>
  <c r="C30"/>
  <c r="C31" s="1"/>
  <c r="C34" i="16"/>
  <c r="C35" s="1"/>
  <c r="F25" i="1"/>
  <c r="H25"/>
  <c r="D78" i="19"/>
  <c r="D190"/>
  <c r="C116" s="1"/>
  <c r="G25" i="1"/>
  <c r="I25"/>
  <c r="C25"/>
  <c r="D25"/>
  <c r="C43" i="16"/>
  <c r="C44" s="1"/>
  <c r="E30" i="1"/>
  <c r="E31" s="1"/>
  <c r="E43"/>
  <c r="E44" s="1"/>
  <c r="C43"/>
  <c r="C44" s="1"/>
  <c r="E34"/>
  <c r="E35" s="1"/>
  <c r="C30" i="16"/>
  <c r="C31" s="1"/>
  <c r="C43" i="14"/>
  <c r="C44" s="1"/>
  <c r="C21" i="1"/>
  <c r="C22" s="1"/>
  <c r="C21" i="16"/>
  <c r="C22" s="1"/>
  <c r="C34" i="14"/>
  <c r="C35" s="1"/>
  <c r="O85" i="8"/>
  <c r="O86" s="1"/>
  <c r="O90" s="1"/>
  <c r="C21" i="14"/>
  <c r="C22" s="1"/>
  <c r="G25" i="16"/>
  <c r="H25"/>
  <c r="D21" i="14"/>
  <c r="D22" s="1"/>
  <c r="C25" i="16"/>
  <c r="E25"/>
  <c r="F25"/>
  <c r="D25"/>
  <c r="K27" i="7"/>
  <c r="D112" i="19"/>
  <c r="D113" s="1"/>
  <c r="C25"/>
  <c r="I25"/>
  <c r="D25"/>
  <c r="G25"/>
  <c r="H25"/>
  <c r="F25"/>
  <c r="E25"/>
  <c r="C217" i="6"/>
  <c r="C158" s="1"/>
  <c r="C159" s="1"/>
  <c r="L83" i="8"/>
  <c r="L84" s="1"/>
  <c r="L85" s="1"/>
  <c r="L90" s="1"/>
  <c r="B27" i="16"/>
  <c r="I28" s="1"/>
  <c r="K27"/>
  <c r="K27" i="14"/>
  <c r="B27"/>
  <c r="C105" i="15"/>
  <c r="B30" i="11" s="1"/>
  <c r="I30" s="1"/>
  <c r="I31" s="1"/>
  <c r="C107" i="15"/>
  <c r="C104"/>
  <c r="B26" i="11" s="1"/>
  <c r="G26" s="1"/>
  <c r="G27" s="1"/>
  <c r="D112" i="1"/>
  <c r="D113" s="1"/>
  <c r="D90" s="1"/>
  <c r="D91" s="1"/>
  <c r="D92" s="1"/>
  <c r="E143" i="22" s="1"/>
  <c r="C115" i="15"/>
  <c r="B43" i="11" s="1"/>
  <c r="I43" s="1"/>
  <c r="I44" s="1"/>
  <c r="C102" i="15"/>
  <c r="B21" i="11" s="1"/>
  <c r="C106" i="15"/>
  <c r="B34" i="11" s="1"/>
  <c r="I34" s="1"/>
  <c r="I35" s="1"/>
  <c r="C103" i="15"/>
  <c r="B25" i="11" s="1"/>
  <c r="B22" i="7"/>
  <c r="I23" s="1"/>
  <c r="I24" s="1"/>
  <c r="C216" i="6"/>
  <c r="C152" s="1"/>
  <c r="C153" s="1"/>
  <c r="D190" i="16"/>
  <c r="C116" s="1"/>
  <c r="D78"/>
  <c r="B260" i="11"/>
  <c r="D260" s="1"/>
  <c r="D112" i="16"/>
  <c r="D113" s="1"/>
  <c r="D117" s="1"/>
  <c r="C39"/>
  <c r="D112" i="14"/>
  <c r="D113" s="1"/>
  <c r="D117" s="1"/>
  <c r="D190"/>
  <c r="C116" s="1"/>
  <c r="D78"/>
  <c r="K22" i="7"/>
  <c r="D282" i="11"/>
  <c r="E282" s="1"/>
  <c r="D277"/>
  <c r="E277" s="1"/>
  <c r="D272"/>
  <c r="E272" s="1"/>
  <c r="D267"/>
  <c r="E267" s="1"/>
  <c r="D261"/>
  <c r="B35" i="7"/>
  <c r="I36" s="1"/>
  <c r="I37" s="1"/>
  <c r="K44"/>
  <c r="B27"/>
  <c r="E28" s="1"/>
  <c r="E29" s="1"/>
  <c r="D78" i="1"/>
  <c r="E38" i="7"/>
  <c r="E39" s="1"/>
  <c r="E41"/>
  <c r="E42" s="1"/>
  <c r="C41"/>
  <c r="C38"/>
  <c r="B27" i="1"/>
  <c r="D206" i="11"/>
  <c r="C136" s="1"/>
  <c r="D190" i="1"/>
  <c r="C116" s="1"/>
  <c r="D111" i="7"/>
  <c r="K35"/>
  <c r="B44"/>
  <c r="C45" s="1"/>
  <c r="B31"/>
  <c r="E32" s="1"/>
  <c r="E33" s="1"/>
  <c r="K31"/>
  <c r="D78"/>
  <c r="H26" i="11" l="1"/>
  <c r="H27" s="1"/>
  <c r="G108" i="15"/>
  <c r="G114" s="1"/>
  <c r="G38" i="11" s="1"/>
  <c r="G39" s="1"/>
  <c r="H108" i="15"/>
  <c r="H114" s="1"/>
  <c r="C213"/>
  <c r="C151" s="1"/>
  <c r="C152" s="1"/>
  <c r="C159" s="1"/>
  <c r="C160" s="1"/>
  <c r="C170" s="1"/>
  <c r="C171" s="1"/>
  <c r="C134" i="11" s="1"/>
  <c r="C214" i="8"/>
  <c r="C157" s="1"/>
  <c r="C158" s="1"/>
  <c r="C160" s="1"/>
  <c r="C161" s="1"/>
  <c r="C162" s="1"/>
  <c r="C163" s="1"/>
  <c r="C71" i="7" s="1"/>
  <c r="D135" i="22"/>
  <c r="C160" i="6"/>
  <c r="C161" s="1"/>
  <c r="C188" s="1"/>
  <c r="C189" s="1"/>
  <c r="C190" s="1"/>
  <c r="Z90"/>
  <c r="AE90" s="1"/>
  <c r="B46" s="1"/>
  <c r="E194" s="1"/>
  <c r="F100" i="22" s="1"/>
  <c r="C28" i="19"/>
  <c r="C29" s="1"/>
  <c r="G74" i="20"/>
  <c r="G76" s="1"/>
  <c r="AB88" i="15"/>
  <c r="I28" i="19"/>
  <c r="I29" s="1"/>
  <c r="H28"/>
  <c r="H29" s="1"/>
  <c r="Z89" i="15"/>
  <c r="AB90" s="1"/>
  <c r="AD90" s="1"/>
  <c r="H21" i="11"/>
  <c r="H22" s="1"/>
  <c r="I21"/>
  <c r="I22" s="1"/>
  <c r="G43"/>
  <c r="G44" s="1"/>
  <c r="H43"/>
  <c r="H44" s="1"/>
  <c r="G30"/>
  <c r="G31" s="1"/>
  <c r="H30"/>
  <c r="H31" s="1"/>
  <c r="G34"/>
  <c r="G35" s="1"/>
  <c r="H34"/>
  <c r="H35" s="1"/>
  <c r="F21"/>
  <c r="F22" s="1"/>
  <c r="G21"/>
  <c r="G22" s="1"/>
  <c r="Z89" i="8"/>
  <c r="Z90" s="1"/>
  <c r="E28" i="19"/>
  <c r="E29" s="1"/>
  <c r="G28"/>
  <c r="G29" s="1"/>
  <c r="D28"/>
  <c r="D29" s="1"/>
  <c r="K22"/>
  <c r="B44" i="14"/>
  <c r="H45" s="1"/>
  <c r="H46" s="1"/>
  <c r="B41" i="16"/>
  <c r="B22" i="19"/>
  <c r="D23" s="1"/>
  <c r="D24" s="1"/>
  <c r="B35" i="14"/>
  <c r="H36" s="1"/>
  <c r="H37" s="1"/>
  <c r="C42" i="16"/>
  <c r="B42" s="1"/>
  <c r="A42" s="1"/>
  <c r="B22"/>
  <c r="D23" s="1"/>
  <c r="D24" s="1"/>
  <c r="B38"/>
  <c r="B31" i="1"/>
  <c r="C32" s="1"/>
  <c r="C33" s="1"/>
  <c r="D50" i="22" s="1"/>
  <c r="B41" i="19"/>
  <c r="B31" i="14"/>
  <c r="I32" s="1"/>
  <c r="I33" s="1"/>
  <c r="B38" i="1"/>
  <c r="K31" i="16"/>
  <c r="B44"/>
  <c r="G45" s="1"/>
  <c r="G46" s="1"/>
  <c r="B35"/>
  <c r="G36" s="1"/>
  <c r="G37" s="1"/>
  <c r="K31" i="19"/>
  <c r="B42" i="14"/>
  <c r="A42" s="1"/>
  <c r="B38" i="19"/>
  <c r="B42"/>
  <c r="A42" s="1"/>
  <c r="D43" i="11"/>
  <c r="D44" s="1"/>
  <c r="F43"/>
  <c r="F44" s="1"/>
  <c r="B35" i="1"/>
  <c r="F36" s="1"/>
  <c r="F37" s="1"/>
  <c r="B42"/>
  <c r="A42" s="1"/>
  <c r="C34" i="11"/>
  <c r="C35" s="1"/>
  <c r="F34"/>
  <c r="F35" s="1"/>
  <c r="C26"/>
  <c r="C27" s="1"/>
  <c r="F26"/>
  <c r="F27" s="1"/>
  <c r="E108" i="15"/>
  <c r="E114" s="1"/>
  <c r="E41" i="11" s="1"/>
  <c r="E42" s="1"/>
  <c r="F108" i="15"/>
  <c r="F114" s="1"/>
  <c r="C30" i="11"/>
  <c r="C31" s="1"/>
  <c r="F30"/>
  <c r="F31" s="1"/>
  <c r="H36" i="21"/>
  <c r="H37" s="1"/>
  <c r="D28"/>
  <c r="D29" s="1"/>
  <c r="G28"/>
  <c r="G29" s="1"/>
  <c r="E28"/>
  <c r="E29" s="1"/>
  <c r="F28"/>
  <c r="F29" s="1"/>
  <c r="C28"/>
  <c r="I28"/>
  <c r="I29" s="1"/>
  <c r="H28"/>
  <c r="H29" s="1"/>
  <c r="C36"/>
  <c r="C37" s="1"/>
  <c r="F45"/>
  <c r="F46" s="1"/>
  <c r="I45"/>
  <c r="I46" s="1"/>
  <c r="C45"/>
  <c r="C46" s="1"/>
  <c r="E36"/>
  <c r="E37" s="1"/>
  <c r="B22" i="1"/>
  <c r="E23" s="1"/>
  <c r="E24" s="1"/>
  <c r="F48" i="22" s="1"/>
  <c r="I36" i="21"/>
  <c r="I37" s="1"/>
  <c r="E45"/>
  <c r="E46" s="1"/>
  <c r="D45"/>
  <c r="D46" s="1"/>
  <c r="D36"/>
  <c r="D37" s="1"/>
  <c r="H32"/>
  <c r="H33" s="1"/>
  <c r="G45"/>
  <c r="G46" s="1"/>
  <c r="C32"/>
  <c r="C33" s="1"/>
  <c r="D32"/>
  <c r="D33" s="1"/>
  <c r="E32"/>
  <c r="E33" s="1"/>
  <c r="F32"/>
  <c r="F33" s="1"/>
  <c r="F23"/>
  <c r="F24" s="1"/>
  <c r="H23"/>
  <c r="H24" s="1"/>
  <c r="I23"/>
  <c r="I24" s="1"/>
  <c r="D23"/>
  <c r="D24" s="1"/>
  <c r="C23"/>
  <c r="C24" s="1"/>
  <c r="G36"/>
  <c r="G37" s="1"/>
  <c r="G32"/>
  <c r="G33" s="1"/>
  <c r="E23"/>
  <c r="E24" s="1"/>
  <c r="B41" i="1"/>
  <c r="B41" i="14"/>
  <c r="B38"/>
  <c r="D105" i="21"/>
  <c r="D106" s="1"/>
  <c r="D107" s="1"/>
  <c r="D100"/>
  <c r="D101" s="1"/>
  <c r="D102" s="1"/>
  <c r="D103" s="1"/>
  <c r="D94"/>
  <c r="D95" s="1"/>
  <c r="D96" s="1"/>
  <c r="D78"/>
  <c r="D79" s="1"/>
  <c r="D80" s="1"/>
  <c r="D81" s="1"/>
  <c r="D73"/>
  <c r="D89"/>
  <c r="D90" s="1"/>
  <c r="D91" s="1"/>
  <c r="D116"/>
  <c r="D93"/>
  <c r="D99"/>
  <c r="D83"/>
  <c r="D88"/>
  <c r="D71"/>
  <c r="D72" s="1"/>
  <c r="B41"/>
  <c r="C42"/>
  <c r="B42" s="1"/>
  <c r="A42" s="1"/>
  <c r="C39"/>
  <c r="B38"/>
  <c r="B31" i="19"/>
  <c r="D32" s="1"/>
  <c r="D33" s="1"/>
  <c r="D96" i="11"/>
  <c r="D97" s="1"/>
  <c r="D88"/>
  <c r="D89" s="1"/>
  <c r="D123"/>
  <c r="D124" s="1"/>
  <c r="D81"/>
  <c r="D117"/>
  <c r="D118" s="1"/>
  <c r="D119" s="1"/>
  <c r="D103"/>
  <c r="D104" s="1"/>
  <c r="D110"/>
  <c r="D111" s="1"/>
  <c r="D112" s="1"/>
  <c r="D102"/>
  <c r="D116"/>
  <c r="D79"/>
  <c r="D80" s="1"/>
  <c r="D95"/>
  <c r="D109"/>
  <c r="D101" i="1"/>
  <c r="D102" s="1"/>
  <c r="D103" s="1"/>
  <c r="D104" s="1"/>
  <c r="D117"/>
  <c r="E144" i="22" s="1"/>
  <c r="D74" i="1"/>
  <c r="D79"/>
  <c r="D80" s="1"/>
  <c r="D81" s="1"/>
  <c r="D82" s="1"/>
  <c r="D95"/>
  <c r="D96" s="1"/>
  <c r="D97" s="1"/>
  <c r="D106"/>
  <c r="D107" s="1"/>
  <c r="D108" s="1"/>
  <c r="D89"/>
  <c r="C39" i="19"/>
  <c r="K39" s="1"/>
  <c r="K31" i="14"/>
  <c r="K44" i="19"/>
  <c r="K35"/>
  <c r="B44"/>
  <c r="G45" s="1"/>
  <c r="G46" s="1"/>
  <c r="B35"/>
  <c r="D36" s="1"/>
  <c r="D37" s="1"/>
  <c r="K35" i="16"/>
  <c r="B31"/>
  <c r="I32" s="1"/>
  <c r="I33" s="1"/>
  <c r="K44"/>
  <c r="K22" i="14"/>
  <c r="B44" i="1"/>
  <c r="C45" s="1"/>
  <c r="C46" s="1"/>
  <c r="D52" i="22" s="1"/>
  <c r="K22" i="16"/>
  <c r="K44" i="14"/>
  <c r="K35"/>
  <c r="B22"/>
  <c r="F23" s="1"/>
  <c r="F24" s="1"/>
  <c r="D85" i="19"/>
  <c r="D86" s="1"/>
  <c r="D87" s="1"/>
  <c r="D79"/>
  <c r="D80" s="1"/>
  <c r="D81" s="1"/>
  <c r="D82" s="1"/>
  <c r="D106"/>
  <c r="D107" s="1"/>
  <c r="D108" s="1"/>
  <c r="D101"/>
  <c r="D102" s="1"/>
  <c r="D103" s="1"/>
  <c r="D104" s="1"/>
  <c r="D95"/>
  <c r="D96" s="1"/>
  <c r="D97" s="1"/>
  <c r="D90"/>
  <c r="D91" s="1"/>
  <c r="D92" s="1"/>
  <c r="D74"/>
  <c r="D117"/>
  <c r="D100"/>
  <c r="D72"/>
  <c r="D73" s="1"/>
  <c r="D94"/>
  <c r="D89"/>
  <c r="D84"/>
  <c r="E30" i="11"/>
  <c r="E31" s="1"/>
  <c r="D30"/>
  <c r="D31" s="1"/>
  <c r="E26"/>
  <c r="E27" s="1"/>
  <c r="H28" i="16"/>
  <c r="H29" s="1"/>
  <c r="D28"/>
  <c r="D29" s="1"/>
  <c r="F28"/>
  <c r="F29" s="1"/>
  <c r="E28"/>
  <c r="E29" s="1"/>
  <c r="G28"/>
  <c r="G29" s="1"/>
  <c r="C28"/>
  <c r="C29" s="1"/>
  <c r="I29"/>
  <c r="C108" i="15"/>
  <c r="C114" s="1"/>
  <c r="C41" i="11" s="1"/>
  <c r="C42" s="1"/>
  <c r="D108" i="15"/>
  <c r="D114" s="1"/>
  <c r="D26" i="11"/>
  <c r="D27" s="1"/>
  <c r="C28" i="14"/>
  <c r="I28"/>
  <c r="I29" s="1"/>
  <c r="H28"/>
  <c r="H29" s="1"/>
  <c r="G28"/>
  <c r="G29" s="1"/>
  <c r="F28"/>
  <c r="F29" s="1"/>
  <c r="E28"/>
  <c r="E29" s="1"/>
  <c r="D28"/>
  <c r="D29" s="1"/>
  <c r="E23" i="7"/>
  <c r="E24" s="1"/>
  <c r="F23"/>
  <c r="F24" s="1"/>
  <c r="D21" i="11"/>
  <c r="D22" s="1"/>
  <c r="E21"/>
  <c r="E22" s="1"/>
  <c r="C43"/>
  <c r="C44" s="1"/>
  <c r="E43"/>
  <c r="E44" s="1"/>
  <c r="D34"/>
  <c r="D35" s="1"/>
  <c r="E34"/>
  <c r="E35" s="1"/>
  <c r="C21"/>
  <c r="C22" s="1"/>
  <c r="F25"/>
  <c r="C25"/>
  <c r="D25"/>
  <c r="H25"/>
  <c r="I25"/>
  <c r="E25"/>
  <c r="G25"/>
  <c r="C23" i="7"/>
  <c r="C24" s="1"/>
  <c r="G23"/>
  <c r="G24" s="1"/>
  <c r="H23"/>
  <c r="H24" s="1"/>
  <c r="D23"/>
  <c r="D24" s="1"/>
  <c r="D106" i="16"/>
  <c r="D107" s="1"/>
  <c r="D108" s="1"/>
  <c r="D74"/>
  <c r="D90"/>
  <c r="D91" s="1"/>
  <c r="D92" s="1"/>
  <c r="D101"/>
  <c r="D102" s="1"/>
  <c r="D103" s="1"/>
  <c r="D104" s="1"/>
  <c r="D85"/>
  <c r="D86" s="1"/>
  <c r="D87" s="1"/>
  <c r="D95"/>
  <c r="D96" s="1"/>
  <c r="D97" s="1"/>
  <c r="D79"/>
  <c r="D80" s="1"/>
  <c r="D81" s="1"/>
  <c r="D82" s="1"/>
  <c r="D72"/>
  <c r="D73" s="1"/>
  <c r="D89"/>
  <c r="D84"/>
  <c r="D100"/>
  <c r="D94"/>
  <c r="K39"/>
  <c r="B39"/>
  <c r="D90" i="14"/>
  <c r="D91" s="1"/>
  <c r="D92" s="1"/>
  <c r="D85"/>
  <c r="D86" s="1"/>
  <c r="D87" s="1"/>
  <c r="D74"/>
  <c r="D106"/>
  <c r="D107" s="1"/>
  <c r="D108" s="1"/>
  <c r="D95"/>
  <c r="D96" s="1"/>
  <c r="D97" s="1"/>
  <c r="D101"/>
  <c r="D102" s="1"/>
  <c r="D103" s="1"/>
  <c r="D104" s="1"/>
  <c r="D79"/>
  <c r="D80" s="1"/>
  <c r="D81" s="1"/>
  <c r="D82" s="1"/>
  <c r="D89"/>
  <c r="D100"/>
  <c r="D94"/>
  <c r="D84"/>
  <c r="D72"/>
  <c r="D73" s="1"/>
  <c r="K39"/>
  <c r="B39"/>
  <c r="D262" i="11"/>
  <c r="E262" s="1"/>
  <c r="H36" i="7"/>
  <c r="H37" s="1"/>
  <c r="D36"/>
  <c r="D37" s="1"/>
  <c r="C36"/>
  <c r="C37" s="1"/>
  <c r="F36"/>
  <c r="F37" s="1"/>
  <c r="E36"/>
  <c r="E37" s="1"/>
  <c r="G36"/>
  <c r="G37" s="1"/>
  <c r="D84" i="1"/>
  <c r="D100"/>
  <c r="D72"/>
  <c r="D73" s="1"/>
  <c r="C28" i="7"/>
  <c r="C29" s="1"/>
  <c r="H28"/>
  <c r="H29" s="1"/>
  <c r="G28"/>
  <c r="G29" s="1"/>
  <c r="D28"/>
  <c r="D29" s="1"/>
  <c r="F28"/>
  <c r="F29" s="1"/>
  <c r="I28"/>
  <c r="I29" s="1"/>
  <c r="D94" i="1"/>
  <c r="B39"/>
  <c r="E28"/>
  <c r="E29" s="1"/>
  <c r="C28"/>
  <c r="D28"/>
  <c r="D29" s="1"/>
  <c r="I28"/>
  <c r="I29" s="1"/>
  <c r="H28"/>
  <c r="H29" s="1"/>
  <c r="G28"/>
  <c r="G29" s="1"/>
  <c r="F28"/>
  <c r="F29" s="1"/>
  <c r="B38" i="7"/>
  <c r="C39"/>
  <c r="C42"/>
  <c r="B42" s="1"/>
  <c r="A42" s="1"/>
  <c r="B41"/>
  <c r="D112"/>
  <c r="D113" s="1"/>
  <c r="F45"/>
  <c r="F46" s="1"/>
  <c r="I45"/>
  <c r="I46" s="1"/>
  <c r="H45"/>
  <c r="H46" s="1"/>
  <c r="D45"/>
  <c r="D46" s="1"/>
  <c r="G45"/>
  <c r="G46" s="1"/>
  <c r="E45"/>
  <c r="E46" s="1"/>
  <c r="G32"/>
  <c r="G33" s="1"/>
  <c r="C32"/>
  <c r="C33" s="1"/>
  <c r="H32"/>
  <c r="H33" s="1"/>
  <c r="I32"/>
  <c r="I33" s="1"/>
  <c r="D32"/>
  <c r="D33" s="1"/>
  <c r="F32"/>
  <c r="F33" s="1"/>
  <c r="C46"/>
  <c r="G41" i="11" l="1"/>
  <c r="G42" s="1"/>
  <c r="H41"/>
  <c r="H42" s="1"/>
  <c r="H38"/>
  <c r="H39" s="1"/>
  <c r="C186" i="8"/>
  <c r="C187" s="1"/>
  <c r="C188" s="1"/>
  <c r="C120" i="7" s="1"/>
  <c r="C99"/>
  <c r="C148" i="8"/>
  <c r="C105" i="7" s="1"/>
  <c r="C93"/>
  <c r="C170" i="8"/>
  <c r="C171" s="1"/>
  <c r="C114" i="7" s="1"/>
  <c r="C110"/>
  <c r="C88"/>
  <c r="C77"/>
  <c r="C78" s="1"/>
  <c r="C161" i="15"/>
  <c r="C162" s="1"/>
  <c r="C163" s="1"/>
  <c r="C94" i="11" s="1"/>
  <c r="C148" i="15"/>
  <c r="C186"/>
  <c r="C187" s="1"/>
  <c r="C188" s="1"/>
  <c r="C142" i="11" s="1"/>
  <c r="C128"/>
  <c r="C14" i="16"/>
  <c r="C169" s="1"/>
  <c r="B169" s="1"/>
  <c r="G194" i="6"/>
  <c r="C14" i="14"/>
  <c r="B14" s="1"/>
  <c r="A14" s="1"/>
  <c r="I194" i="6"/>
  <c r="C48" i="20"/>
  <c r="M48" i="1" s="1"/>
  <c r="C14" i="21"/>
  <c r="C178" s="1"/>
  <c r="C109"/>
  <c r="C110" s="1"/>
  <c r="C14" i="19"/>
  <c r="C168" s="1"/>
  <c r="H194" i="6"/>
  <c r="F194"/>
  <c r="G100" i="22" s="1"/>
  <c r="C14" i="1"/>
  <c r="C110"/>
  <c r="C111" s="1"/>
  <c r="C110" i="16"/>
  <c r="C111" s="1"/>
  <c r="C112" s="1"/>
  <c r="C113" s="1"/>
  <c r="C117" s="1"/>
  <c r="C172" i="6"/>
  <c r="C173" s="1"/>
  <c r="C113" i="21" s="1"/>
  <c r="C149" i="6"/>
  <c r="C162"/>
  <c r="C163" s="1"/>
  <c r="C164" s="1"/>
  <c r="C88" i="1" s="1"/>
  <c r="C110" i="19"/>
  <c r="C111" s="1"/>
  <c r="C110" i="14"/>
  <c r="C111" s="1"/>
  <c r="C112" s="1"/>
  <c r="C113" s="1"/>
  <c r="C117" s="1"/>
  <c r="Z90" i="15"/>
  <c r="AE90" s="1"/>
  <c r="B46" s="1"/>
  <c r="C14" i="11" s="1"/>
  <c r="C184" s="1"/>
  <c r="AB90" i="8"/>
  <c r="AD90" s="1"/>
  <c r="D32" i="14"/>
  <c r="D33" s="1"/>
  <c r="B28" i="19"/>
  <c r="G23" i="16"/>
  <c r="G24" s="1"/>
  <c r="B29" i="19"/>
  <c r="A29" s="1"/>
  <c r="D45" i="16"/>
  <c r="D46" s="1"/>
  <c r="E36"/>
  <c r="E37" s="1"/>
  <c r="H23"/>
  <c r="H24" s="1"/>
  <c r="H32" i="14"/>
  <c r="H33" s="1"/>
  <c r="I36" i="16"/>
  <c r="I37" s="1"/>
  <c r="F23"/>
  <c r="F24" s="1"/>
  <c r="F36" i="14"/>
  <c r="F37" s="1"/>
  <c r="C36" i="16"/>
  <c r="C37" s="1"/>
  <c r="D23" i="1"/>
  <c r="D24" s="1"/>
  <c r="E48" i="22" s="1"/>
  <c r="C36" i="14"/>
  <c r="C37" s="1"/>
  <c r="C32"/>
  <c r="C33" s="1"/>
  <c r="I47" i="21"/>
  <c r="I50" s="1"/>
  <c r="I126" s="1"/>
  <c r="E32" i="16"/>
  <c r="E33" s="1"/>
  <c r="F45" i="14"/>
  <c r="F46" s="1"/>
  <c r="H36" i="1"/>
  <c r="H37" s="1"/>
  <c r="E45" i="16"/>
  <c r="E46" s="1"/>
  <c r="D45" i="14"/>
  <c r="D46" s="1"/>
  <c r="G36" i="1"/>
  <c r="G37" s="1"/>
  <c r="C45" i="16"/>
  <c r="C46" s="1"/>
  <c r="F45"/>
  <c r="F46" s="1"/>
  <c r="C45" i="14"/>
  <c r="C46" s="1"/>
  <c r="E45"/>
  <c r="E46" s="1"/>
  <c r="E36" i="1"/>
  <c r="E37" s="1"/>
  <c r="I36"/>
  <c r="I37" s="1"/>
  <c r="I45" i="16"/>
  <c r="I46" s="1"/>
  <c r="H45"/>
  <c r="H46" s="1"/>
  <c r="I45" i="14"/>
  <c r="I46" s="1"/>
  <c r="G45"/>
  <c r="G46" s="1"/>
  <c r="C36" i="1"/>
  <c r="C37" s="1"/>
  <c r="D36"/>
  <c r="D37" s="1"/>
  <c r="F36" i="16"/>
  <c r="F37" s="1"/>
  <c r="I23"/>
  <c r="I24" s="1"/>
  <c r="C23"/>
  <c r="C24" s="1"/>
  <c r="G32" i="14"/>
  <c r="G33" s="1"/>
  <c r="H36" i="16"/>
  <c r="H37" s="1"/>
  <c r="D36"/>
  <c r="D37" s="1"/>
  <c r="E23"/>
  <c r="E24" s="1"/>
  <c r="E32" i="14"/>
  <c r="E33" s="1"/>
  <c r="F32"/>
  <c r="F33" s="1"/>
  <c r="C32" i="16"/>
  <c r="C33" s="1"/>
  <c r="F32"/>
  <c r="F33" s="1"/>
  <c r="D32"/>
  <c r="D33" s="1"/>
  <c r="G32"/>
  <c r="G33" s="1"/>
  <c r="C23" i="19"/>
  <c r="C24" s="1"/>
  <c r="K27" i="11"/>
  <c r="B27"/>
  <c r="F28" s="1"/>
  <c r="F29" s="1"/>
  <c r="H23" i="19"/>
  <c r="H24" s="1"/>
  <c r="E23"/>
  <c r="E24" s="1"/>
  <c r="I23"/>
  <c r="I24" s="1"/>
  <c r="E38" i="11"/>
  <c r="E39" s="1"/>
  <c r="F23" i="19"/>
  <c r="F24" s="1"/>
  <c r="G23"/>
  <c r="G24" s="1"/>
  <c r="H32" i="16"/>
  <c r="H33" s="1"/>
  <c r="D32" i="1"/>
  <c r="D33" s="1"/>
  <c r="E50" i="22" s="1"/>
  <c r="E32" i="1"/>
  <c r="E33" s="1"/>
  <c r="F50" i="22" s="1"/>
  <c r="I32" i="1"/>
  <c r="I33" s="1"/>
  <c r="J50" i="22" s="1"/>
  <c r="F23" i="1"/>
  <c r="F24" s="1"/>
  <c r="G48" i="22" s="1"/>
  <c r="H23" i="1"/>
  <c r="H24" s="1"/>
  <c r="I48" i="22" s="1"/>
  <c r="G36" i="14"/>
  <c r="G37" s="1"/>
  <c r="H32" i="1"/>
  <c r="H33" s="1"/>
  <c r="I50" i="22" s="1"/>
  <c r="G32" i="1"/>
  <c r="G33" s="1"/>
  <c r="H50" i="22" s="1"/>
  <c r="C23" i="1"/>
  <c r="C24" s="1"/>
  <c r="D48" i="22" s="1"/>
  <c r="G23" i="1"/>
  <c r="G24" s="1"/>
  <c r="H48" i="22" s="1"/>
  <c r="D36" i="14"/>
  <c r="D37" s="1"/>
  <c r="E36"/>
  <c r="E37" s="1"/>
  <c r="I23" i="1"/>
  <c r="I24" s="1"/>
  <c r="J48" i="22" s="1"/>
  <c r="I36" i="14"/>
  <c r="I37" s="1"/>
  <c r="F32" i="1"/>
  <c r="F33" s="1"/>
  <c r="G50" i="22" s="1"/>
  <c r="F41" i="11"/>
  <c r="F42" s="1"/>
  <c r="F38"/>
  <c r="F39" s="1"/>
  <c r="B36" i="21"/>
  <c r="B37"/>
  <c r="A37" s="1"/>
  <c r="C29"/>
  <c r="B29" s="1"/>
  <c r="A29" s="1"/>
  <c r="B28"/>
  <c r="D47"/>
  <c r="D213" s="1"/>
  <c r="H47"/>
  <c r="H50" s="1"/>
  <c r="H126" s="1"/>
  <c r="G47"/>
  <c r="G50" s="1"/>
  <c r="G126" s="1"/>
  <c r="F47"/>
  <c r="F50" s="1"/>
  <c r="F126" s="1"/>
  <c r="B46"/>
  <c r="A46" s="1"/>
  <c r="B45"/>
  <c r="B33"/>
  <c r="A33" s="1"/>
  <c r="E47"/>
  <c r="E50" s="1"/>
  <c r="E126" s="1"/>
  <c r="B23"/>
  <c r="B32"/>
  <c r="C119"/>
  <c r="D74"/>
  <c r="B24"/>
  <c r="K39"/>
  <c r="B39"/>
  <c r="H32" i="19"/>
  <c r="H33" s="1"/>
  <c r="F32"/>
  <c r="F33" s="1"/>
  <c r="E32"/>
  <c r="E33" s="1"/>
  <c r="C32"/>
  <c r="C33" s="1"/>
  <c r="I32"/>
  <c r="I33" s="1"/>
  <c r="G32"/>
  <c r="G33" s="1"/>
  <c r="D75" i="1"/>
  <c r="D98" s="1"/>
  <c r="B39" i="19"/>
  <c r="D40" s="1"/>
  <c r="H45"/>
  <c r="H46" s="1"/>
  <c r="I36"/>
  <c r="I37" s="1"/>
  <c r="E36"/>
  <c r="E37" s="1"/>
  <c r="F36"/>
  <c r="F37" s="1"/>
  <c r="H36"/>
  <c r="H37" s="1"/>
  <c r="F45"/>
  <c r="F46" s="1"/>
  <c r="E45"/>
  <c r="E46" s="1"/>
  <c r="D45"/>
  <c r="D46" s="1"/>
  <c r="D47" s="1"/>
  <c r="D179" s="1"/>
  <c r="C45"/>
  <c r="C46" s="1"/>
  <c r="I45"/>
  <c r="I46" s="1"/>
  <c r="C36"/>
  <c r="C37" s="1"/>
  <c r="G36"/>
  <c r="G37" s="1"/>
  <c r="G45" i="1"/>
  <c r="G46" s="1"/>
  <c r="H52" i="22" s="1"/>
  <c r="F45" i="1"/>
  <c r="F46" s="1"/>
  <c r="G52" i="22" s="1"/>
  <c r="H45" i="1"/>
  <c r="H46" s="1"/>
  <c r="I52" i="22" s="1"/>
  <c r="I45" i="1"/>
  <c r="I46" s="1"/>
  <c r="J52" i="22" s="1"/>
  <c r="E23" i="14"/>
  <c r="E24" s="1"/>
  <c r="G23"/>
  <c r="G24" s="1"/>
  <c r="D45" i="1"/>
  <c r="D46" s="1"/>
  <c r="E52" i="22" s="1"/>
  <c r="E45" i="1"/>
  <c r="E46" s="1"/>
  <c r="F52" i="22" s="1"/>
  <c r="C23" i="14"/>
  <c r="C24" s="1"/>
  <c r="H23"/>
  <c r="H24" s="1"/>
  <c r="I23"/>
  <c r="I24" s="1"/>
  <c r="D23"/>
  <c r="D24" s="1"/>
  <c r="D117" i="7"/>
  <c r="E192" i="15"/>
  <c r="E193" s="1"/>
  <c r="E192" i="8"/>
  <c r="E193" s="1"/>
  <c r="B31" i="11"/>
  <c r="G32" s="1"/>
  <c r="G33" s="1"/>
  <c r="K31"/>
  <c r="D75" i="19"/>
  <c r="C120"/>
  <c r="C120" i="16"/>
  <c r="B28"/>
  <c r="B29"/>
  <c r="A29" s="1"/>
  <c r="C38" i="11"/>
  <c r="C39" s="1"/>
  <c r="C29" i="14"/>
  <c r="B29" s="1"/>
  <c r="A29" s="1"/>
  <c r="B28"/>
  <c r="D41" i="11"/>
  <c r="D42" s="1"/>
  <c r="D38"/>
  <c r="D39" s="1"/>
  <c r="E48" i="7"/>
  <c r="B22" i="11"/>
  <c r="G23" s="1"/>
  <c r="K44"/>
  <c r="B35"/>
  <c r="G36" s="1"/>
  <c r="G37" s="1"/>
  <c r="B44"/>
  <c r="G45" s="1"/>
  <c r="G46" s="1"/>
  <c r="K22"/>
  <c r="K35"/>
  <c r="B23" i="7"/>
  <c r="C120" i="1"/>
  <c r="C120" i="14"/>
  <c r="D75" i="16"/>
  <c r="I40"/>
  <c r="E40"/>
  <c r="G40"/>
  <c r="C40"/>
  <c r="F40"/>
  <c r="D40"/>
  <c r="H40"/>
  <c r="D75" i="14"/>
  <c r="H40"/>
  <c r="D40"/>
  <c r="G40"/>
  <c r="C40"/>
  <c r="F40"/>
  <c r="I40"/>
  <c r="E40"/>
  <c r="E47" i="7"/>
  <c r="E50" s="1"/>
  <c r="E127" s="1"/>
  <c r="H48"/>
  <c r="B37"/>
  <c r="A37" s="1"/>
  <c r="B36"/>
  <c r="D72"/>
  <c r="D73" s="1"/>
  <c r="D84"/>
  <c r="D48"/>
  <c r="B29"/>
  <c r="A29" s="1"/>
  <c r="B28"/>
  <c r="C40" i="1"/>
  <c r="D40"/>
  <c r="I40"/>
  <c r="F40"/>
  <c r="G40"/>
  <c r="E40"/>
  <c r="H40"/>
  <c r="C29"/>
  <c r="B28"/>
  <c r="B39" i="7"/>
  <c r="K39"/>
  <c r="D82" i="11"/>
  <c r="D95" i="7"/>
  <c r="D79"/>
  <c r="D80" s="1"/>
  <c r="D81" s="1"/>
  <c r="D82" s="1"/>
  <c r="D74"/>
  <c r="D101"/>
  <c r="D102" s="1"/>
  <c r="D103" s="1"/>
  <c r="D104" s="1"/>
  <c r="D106"/>
  <c r="D107" s="1"/>
  <c r="D108" s="1"/>
  <c r="D89"/>
  <c r="D94"/>
  <c r="D100"/>
  <c r="D90"/>
  <c r="F47"/>
  <c r="F50" s="1"/>
  <c r="F127" s="1"/>
  <c r="I47"/>
  <c r="I50" s="1"/>
  <c r="I127" s="1"/>
  <c r="B45"/>
  <c r="G47"/>
  <c r="G50" s="1"/>
  <c r="G127" s="1"/>
  <c r="B46"/>
  <c r="A46" s="1"/>
  <c r="G48"/>
  <c r="F48"/>
  <c r="D47"/>
  <c r="D50" s="1"/>
  <c r="D127" s="1"/>
  <c r="I48"/>
  <c r="B33"/>
  <c r="A33" s="1"/>
  <c r="H47"/>
  <c r="H50" s="1"/>
  <c r="H127" s="1"/>
  <c r="B32"/>
  <c r="C47"/>
  <c r="B24"/>
  <c r="C48"/>
  <c r="C111" l="1"/>
  <c r="C112" s="1"/>
  <c r="E225" i="1"/>
  <c r="I225"/>
  <c r="H225"/>
  <c r="G225"/>
  <c r="F225"/>
  <c r="D26" i="22"/>
  <c r="C26" s="1"/>
  <c r="F101"/>
  <c r="F116" s="1"/>
  <c r="F120" s="1"/>
  <c r="F121" s="1"/>
  <c r="C169" i="19"/>
  <c r="B169" s="1"/>
  <c r="I100" i="22"/>
  <c r="F192" i="15"/>
  <c r="F193" s="1"/>
  <c r="F68" i="11" s="1"/>
  <c r="G192" i="15"/>
  <c r="G193" s="1"/>
  <c r="G199" s="1"/>
  <c r="G201" s="1"/>
  <c r="H100" i="22"/>
  <c r="I192" i="15"/>
  <c r="I193" s="1"/>
  <c r="I198" s="1"/>
  <c r="J100" i="22"/>
  <c r="C129" i="11"/>
  <c r="C130" s="1"/>
  <c r="C131" s="1"/>
  <c r="C169" i="14"/>
  <c r="B169" s="1"/>
  <c r="C168"/>
  <c r="B14" i="1"/>
  <c r="A14" s="1"/>
  <c r="C101" i="11"/>
  <c r="C168" i="16"/>
  <c r="C78" i="11"/>
  <c r="C122"/>
  <c r="C115"/>
  <c r="C108"/>
  <c r="C86"/>
  <c r="B14" i="16"/>
  <c r="A14" s="1"/>
  <c r="C185" i="11"/>
  <c r="B185" s="1"/>
  <c r="B48" i="20"/>
  <c r="A48" s="1"/>
  <c r="K48" i="1" s="1"/>
  <c r="B14" i="21"/>
  <c r="A14" s="1"/>
  <c r="F192" i="8"/>
  <c r="F193" s="1"/>
  <c r="F63" i="7" s="1"/>
  <c r="C114" i="16"/>
  <c r="G192" i="8"/>
  <c r="G193" s="1"/>
  <c r="G63" i="7" s="1"/>
  <c r="C104" i="21"/>
  <c r="B14" i="19"/>
  <c r="A14" s="1"/>
  <c r="I192" i="8"/>
  <c r="I193" s="1"/>
  <c r="I199" s="1"/>
  <c r="I201" s="1"/>
  <c r="H192" i="15"/>
  <c r="H193" s="1"/>
  <c r="H199" s="1"/>
  <c r="H201" s="1"/>
  <c r="B14" i="11"/>
  <c r="A14" s="1"/>
  <c r="H192" i="8"/>
  <c r="H193" s="1"/>
  <c r="H199" s="1"/>
  <c r="H201" s="1"/>
  <c r="C168" i="1"/>
  <c r="D194" i="6"/>
  <c r="C169" i="1"/>
  <c r="C5" i="9" s="1"/>
  <c r="C114" i="14"/>
  <c r="C88" i="16"/>
  <c r="C105"/>
  <c r="C93" i="14"/>
  <c r="C93" i="16"/>
  <c r="C105" i="19"/>
  <c r="C98" i="21"/>
  <c r="C77" i="16"/>
  <c r="C83" i="19"/>
  <c r="C83" i="16"/>
  <c r="C99"/>
  <c r="C88" i="14"/>
  <c r="C99" i="1"/>
  <c r="B178" i="21"/>
  <c r="V16" i="1" s="1"/>
  <c r="W16"/>
  <c r="C71" i="14"/>
  <c r="C77"/>
  <c r="C71" i="19"/>
  <c r="C93"/>
  <c r="C105" i="1"/>
  <c r="C71"/>
  <c r="C87" i="21"/>
  <c r="C71" i="16"/>
  <c r="C105" i="14"/>
  <c r="C83"/>
  <c r="C99"/>
  <c r="C93" i="1"/>
  <c r="C88" i="19"/>
  <c r="C92" i="21"/>
  <c r="C77" i="19"/>
  <c r="C99"/>
  <c r="C77" i="1"/>
  <c r="C76" i="21"/>
  <c r="C70"/>
  <c r="C114" i="19"/>
  <c r="C114" i="1"/>
  <c r="AE90" i="8"/>
  <c r="B46" s="1"/>
  <c r="C14" i="7" s="1"/>
  <c r="C170" s="1"/>
  <c r="G47" i="16"/>
  <c r="G50" s="1"/>
  <c r="G127" s="1"/>
  <c r="I180" i="7"/>
  <c r="I21" i="9" s="1"/>
  <c r="H180" i="7"/>
  <c r="H21" i="9" s="1"/>
  <c r="G180" i="7"/>
  <c r="G21" i="9" s="1"/>
  <c r="G179" i="16"/>
  <c r="D76" i="1"/>
  <c r="H47" i="14"/>
  <c r="I47" i="16"/>
  <c r="F47" i="14"/>
  <c r="F179" s="1"/>
  <c r="B23" i="16"/>
  <c r="B42" i="11"/>
  <c r="A42" s="1"/>
  <c r="D50" i="21"/>
  <c r="D126" s="1"/>
  <c r="D130" s="1"/>
  <c r="D131" s="1"/>
  <c r="B24" i="16"/>
  <c r="A24" s="1"/>
  <c r="B37" i="1"/>
  <c r="A37" s="1"/>
  <c r="F47" i="16"/>
  <c r="F50" s="1"/>
  <c r="F127" s="1"/>
  <c r="E47"/>
  <c r="E50" s="1"/>
  <c r="E127" s="1"/>
  <c r="I28" i="11"/>
  <c r="I29" s="1"/>
  <c r="B46" i="16"/>
  <c r="A46" s="1"/>
  <c r="H47"/>
  <c r="B37"/>
  <c r="A37" s="1"/>
  <c r="B46" i="14"/>
  <c r="A46" s="1"/>
  <c r="B45" i="16"/>
  <c r="B36" i="1"/>
  <c r="B36" i="16"/>
  <c r="B45" i="14"/>
  <c r="D47" i="16"/>
  <c r="D179" s="1"/>
  <c r="C28" i="11"/>
  <c r="C29" s="1"/>
  <c r="B33" i="14"/>
  <c r="A33" s="1"/>
  <c r="D28" i="11"/>
  <c r="D29" s="1"/>
  <c r="B32" i="14"/>
  <c r="G47"/>
  <c r="B33" i="16"/>
  <c r="A33" s="1"/>
  <c r="B24" i="1"/>
  <c r="A24" s="1"/>
  <c r="H28" i="11"/>
  <c r="H29" s="1"/>
  <c r="G28"/>
  <c r="G29" s="1"/>
  <c r="B23" i="1"/>
  <c r="E28" i="11"/>
  <c r="E29" s="1"/>
  <c r="D47" i="1"/>
  <c r="H47"/>
  <c r="I53" i="22" s="1"/>
  <c r="B32" i="16"/>
  <c r="I47" i="19"/>
  <c r="E47" i="14"/>
  <c r="E50" s="1"/>
  <c r="E127" s="1"/>
  <c r="B23" i="19"/>
  <c r="E47" i="1"/>
  <c r="I47" i="14"/>
  <c r="G47" i="1"/>
  <c r="I47"/>
  <c r="B33"/>
  <c r="A33" s="1"/>
  <c r="B37" i="14"/>
  <c r="A37" s="1"/>
  <c r="B36"/>
  <c r="D47"/>
  <c r="D50" s="1"/>
  <c r="D127" s="1"/>
  <c r="D131" s="1"/>
  <c r="D132" s="1"/>
  <c r="F47" i="1"/>
  <c r="B32"/>
  <c r="F180" i="7"/>
  <c r="F21" i="9" s="1"/>
  <c r="D97" i="21"/>
  <c r="D75"/>
  <c r="F50" i="14"/>
  <c r="F127" s="1"/>
  <c r="C47" i="21"/>
  <c r="C213" s="1"/>
  <c r="B47"/>
  <c r="A24"/>
  <c r="H40"/>
  <c r="D40"/>
  <c r="F40"/>
  <c r="G40"/>
  <c r="E40"/>
  <c r="C40"/>
  <c r="I40"/>
  <c r="C111"/>
  <c r="C112" s="1"/>
  <c r="B32" i="19"/>
  <c r="C40"/>
  <c r="B33"/>
  <c r="A33" s="1"/>
  <c r="H47"/>
  <c r="G47"/>
  <c r="E40"/>
  <c r="F40"/>
  <c r="H40"/>
  <c r="G40"/>
  <c r="I40"/>
  <c r="E47"/>
  <c r="E179" s="1"/>
  <c r="B45"/>
  <c r="B37"/>
  <c r="A37" s="1"/>
  <c r="F47"/>
  <c r="D98"/>
  <c r="D76"/>
  <c r="B36"/>
  <c r="B46"/>
  <c r="A46" s="1"/>
  <c r="B46" i="1"/>
  <c r="A46" s="1"/>
  <c r="B45"/>
  <c r="B23" i="14"/>
  <c r="D32" i="11"/>
  <c r="D33" s="1"/>
  <c r="E32"/>
  <c r="E33" s="1"/>
  <c r="C32"/>
  <c r="C33" s="1"/>
  <c r="I32"/>
  <c r="I33" s="1"/>
  <c r="E68"/>
  <c r="E198" i="15"/>
  <c r="E199"/>
  <c r="E201" s="1"/>
  <c r="E63" i="7"/>
  <c r="E199" i="8"/>
  <c r="E201" s="1"/>
  <c r="E198"/>
  <c r="C47" i="14"/>
  <c r="C179" s="1"/>
  <c r="F32" i="11"/>
  <c r="F33" s="1"/>
  <c r="H32"/>
  <c r="H33" s="1"/>
  <c r="D50" i="19"/>
  <c r="D127" s="1"/>
  <c r="D131" s="1"/>
  <c r="C112"/>
  <c r="C113" s="1"/>
  <c r="C47"/>
  <c r="B24"/>
  <c r="B39" i="11"/>
  <c r="B41"/>
  <c r="B38"/>
  <c r="K39"/>
  <c r="E180" i="7"/>
  <c r="E21" i="9" s="1"/>
  <c r="B24" i="14"/>
  <c r="A24" s="1"/>
  <c r="E45" i="11"/>
  <c r="E46" s="1"/>
  <c r="D36"/>
  <c r="D37" s="1"/>
  <c r="I36"/>
  <c r="I37" s="1"/>
  <c r="F36"/>
  <c r="F37" s="1"/>
  <c r="H36"/>
  <c r="H37" s="1"/>
  <c r="E36"/>
  <c r="E37" s="1"/>
  <c r="I23"/>
  <c r="I24" s="1"/>
  <c r="C23"/>
  <c r="C24" s="1"/>
  <c r="D23"/>
  <c r="D24" s="1"/>
  <c r="F23"/>
  <c r="F24" s="1"/>
  <c r="E23"/>
  <c r="E24" s="1"/>
  <c r="G24"/>
  <c r="I45"/>
  <c r="I46" s="1"/>
  <c r="H23"/>
  <c r="H24" s="1"/>
  <c r="C36"/>
  <c r="C37" s="1"/>
  <c r="C45"/>
  <c r="C46" s="1"/>
  <c r="D45"/>
  <c r="D46" s="1"/>
  <c r="H45"/>
  <c r="H46" s="1"/>
  <c r="F45"/>
  <c r="F46" s="1"/>
  <c r="C47" i="16"/>
  <c r="D75" i="7"/>
  <c r="D76" s="1"/>
  <c r="D98" i="14"/>
  <c r="D76"/>
  <c r="D98" i="16"/>
  <c r="D76"/>
  <c r="C79" i="14"/>
  <c r="C90"/>
  <c r="C106"/>
  <c r="C95"/>
  <c r="C85"/>
  <c r="C86" s="1"/>
  <c r="C74"/>
  <c r="C101"/>
  <c r="C102" s="1"/>
  <c r="C103" s="1"/>
  <c r="B40" i="16"/>
  <c r="C90"/>
  <c r="C85"/>
  <c r="C86" s="1"/>
  <c r="C79"/>
  <c r="C106"/>
  <c r="C74"/>
  <c r="C101"/>
  <c r="C102" s="1"/>
  <c r="C103" s="1"/>
  <c r="C95"/>
  <c r="B40" i="14"/>
  <c r="H40" i="7"/>
  <c r="I40"/>
  <c r="F40"/>
  <c r="G40"/>
  <c r="C40"/>
  <c r="E40"/>
  <c r="D40"/>
  <c r="B40" i="1"/>
  <c r="B29"/>
  <c r="C47"/>
  <c r="D53" i="22" s="1"/>
  <c r="A131" i="11"/>
  <c r="D96" i="7"/>
  <c r="D97" s="1"/>
  <c r="D91"/>
  <c r="D92" s="1"/>
  <c r="D180"/>
  <c r="D21" i="9" s="1"/>
  <c r="A24" i="7"/>
  <c r="B47"/>
  <c r="D131"/>
  <c r="D132" s="1"/>
  <c r="C180"/>
  <c r="C113" l="1"/>
  <c r="C74" s="1"/>
  <c r="C96" i="11"/>
  <c r="C97" s="1"/>
  <c r="B250"/>
  <c r="D250" s="1"/>
  <c r="D252" s="1"/>
  <c r="E252" s="1"/>
  <c r="D225" i="1"/>
  <c r="D41" i="22"/>
  <c r="D40"/>
  <c r="C40" s="1"/>
  <c r="E195" i="6"/>
  <c r="F67" i="22"/>
  <c r="I68" i="11"/>
  <c r="I199" i="15"/>
  <c r="I201" s="1"/>
  <c r="F198"/>
  <c r="F199"/>
  <c r="F201" s="1"/>
  <c r="G198"/>
  <c r="C103" i="11"/>
  <c r="G68"/>
  <c r="H101" i="22"/>
  <c r="I101"/>
  <c r="J101"/>
  <c r="G101"/>
  <c r="C100"/>
  <c r="F179" i="16"/>
  <c r="C88" i="11"/>
  <c r="C123"/>
  <c r="C124" s="1"/>
  <c r="C117"/>
  <c r="C118" s="1"/>
  <c r="C119" s="1"/>
  <c r="C110"/>
  <c r="C81"/>
  <c r="C87"/>
  <c r="C109" s="1"/>
  <c r="F199" i="8"/>
  <c r="F201" s="1"/>
  <c r="F198"/>
  <c r="L48" i="1"/>
  <c r="G198" i="8"/>
  <c r="C104" i="16"/>
  <c r="C87"/>
  <c r="H198" i="15"/>
  <c r="C107" i="14"/>
  <c r="C108" s="1"/>
  <c r="B169" i="1"/>
  <c r="B5" i="9" s="1"/>
  <c r="G199" i="8"/>
  <c r="G201" s="1"/>
  <c r="G211" s="1"/>
  <c r="G212" s="1"/>
  <c r="I63" i="7"/>
  <c r="I70" s="1"/>
  <c r="H198" i="8"/>
  <c r="I198"/>
  <c r="H63" i="7"/>
  <c r="H70" s="1"/>
  <c r="C107" i="16"/>
  <c r="C108" s="1"/>
  <c r="C78"/>
  <c r="C72" s="1"/>
  <c r="C73" s="1"/>
  <c r="C75" s="1"/>
  <c r="G179" i="1"/>
  <c r="G10" i="9" s="1"/>
  <c r="H53" i="22"/>
  <c r="D50" i="1"/>
  <c r="E60" i="22" s="1"/>
  <c r="E53"/>
  <c r="I179" i="1"/>
  <c r="I10" i="9" s="1"/>
  <c r="J53" i="22"/>
  <c r="F179" i="1"/>
  <c r="F10" i="9" s="1"/>
  <c r="G53" i="22"/>
  <c r="E50" i="1"/>
  <c r="F60" i="22" s="1"/>
  <c r="F53"/>
  <c r="H68" i="11"/>
  <c r="C78" i="1"/>
  <c r="C78" i="14"/>
  <c r="C89" s="1"/>
  <c r="C87"/>
  <c r="C104"/>
  <c r="C77" i="21"/>
  <c r="C99" s="1"/>
  <c r="C78" i="19"/>
  <c r="C100" s="1"/>
  <c r="E50"/>
  <c r="E127" s="1"/>
  <c r="C91" i="14"/>
  <c r="C92" s="1"/>
  <c r="C169" i="7"/>
  <c r="C50"/>
  <c r="B50" s="1"/>
  <c r="B14"/>
  <c r="A14" s="1"/>
  <c r="D179" i="1"/>
  <c r="D10" i="9" s="1"/>
  <c r="E179" i="14"/>
  <c r="E179" i="16"/>
  <c r="I50" i="1"/>
  <c r="J60" i="22" s="1"/>
  <c r="G47" i="11"/>
  <c r="G195" s="1"/>
  <c r="D179" i="14"/>
  <c r="I50"/>
  <c r="I127" s="1"/>
  <c r="I179"/>
  <c r="I50" i="19"/>
  <c r="I127" s="1"/>
  <c r="I179"/>
  <c r="I50" i="16"/>
  <c r="I127" s="1"/>
  <c r="I179"/>
  <c r="H50" i="19"/>
  <c r="H127" s="1"/>
  <c r="H179"/>
  <c r="H50" i="1"/>
  <c r="H179"/>
  <c r="H50" i="16"/>
  <c r="H127" s="1"/>
  <c r="H179"/>
  <c r="H50" i="14"/>
  <c r="H127" s="1"/>
  <c r="H179"/>
  <c r="G50" i="11"/>
  <c r="G149" s="1"/>
  <c r="G50" i="19"/>
  <c r="G127" s="1"/>
  <c r="G179"/>
  <c r="G50" i="14"/>
  <c r="G127" s="1"/>
  <c r="G179"/>
  <c r="D50" i="16"/>
  <c r="D127" s="1"/>
  <c r="D131" s="1"/>
  <c r="D132" s="1"/>
  <c r="G50" i="1"/>
  <c r="C50" i="21"/>
  <c r="C126" s="1"/>
  <c r="B47" i="16"/>
  <c r="E179" i="1"/>
  <c r="E10" i="9" s="1"/>
  <c r="F50" i="1"/>
  <c r="B29" i="11"/>
  <c r="A29" s="1"/>
  <c r="B28"/>
  <c r="F50" i="19"/>
  <c r="F127" s="1"/>
  <c r="F179"/>
  <c r="C100" i="21"/>
  <c r="C105"/>
  <c r="C106" s="1"/>
  <c r="C107" s="1"/>
  <c r="C94"/>
  <c r="C89"/>
  <c r="C78"/>
  <c r="C73"/>
  <c r="C116"/>
  <c r="B40"/>
  <c r="B40" i="19"/>
  <c r="D121"/>
  <c r="D122" s="1"/>
  <c r="C50" i="14"/>
  <c r="C127" s="1"/>
  <c r="I211" i="8"/>
  <c r="I212" s="1"/>
  <c r="H211" i="15"/>
  <c r="H212" s="1"/>
  <c r="C16" i="9"/>
  <c r="B16" s="1"/>
  <c r="B170" i="7"/>
  <c r="H211" i="8"/>
  <c r="H212" s="1"/>
  <c r="G211" i="15"/>
  <c r="G212" s="1"/>
  <c r="E69" i="7"/>
  <c r="E70"/>
  <c r="F70"/>
  <c r="F69"/>
  <c r="G70"/>
  <c r="G69"/>
  <c r="B33" i="11"/>
  <c r="A33" s="1"/>
  <c r="B32"/>
  <c r="D132" i="19"/>
  <c r="B47"/>
  <c r="A24"/>
  <c r="C179"/>
  <c r="C50"/>
  <c r="C90"/>
  <c r="C106"/>
  <c r="C107" s="1"/>
  <c r="C108" s="1"/>
  <c r="C101"/>
  <c r="C102" s="1"/>
  <c r="C103" s="1"/>
  <c r="C104" s="1"/>
  <c r="C95"/>
  <c r="C79"/>
  <c r="C74"/>
  <c r="C85"/>
  <c r="C86" s="1"/>
  <c r="C87" s="1"/>
  <c r="C117"/>
  <c r="B47" i="14"/>
  <c r="F40" i="11"/>
  <c r="G40"/>
  <c r="D40"/>
  <c r="C40"/>
  <c r="E40"/>
  <c r="I40"/>
  <c r="H40"/>
  <c r="D98" i="7"/>
  <c r="E47" i="11"/>
  <c r="E195" s="1"/>
  <c r="F47"/>
  <c r="B37"/>
  <c r="A37" s="1"/>
  <c r="B36"/>
  <c r="I47"/>
  <c r="D47"/>
  <c r="H47"/>
  <c r="B23"/>
  <c r="B24"/>
  <c r="A24" s="1"/>
  <c r="B45"/>
  <c r="B46"/>
  <c r="A46" s="1"/>
  <c r="C47"/>
  <c r="C195" s="1"/>
  <c r="C179" i="16"/>
  <c r="C50"/>
  <c r="D121" i="14"/>
  <c r="D122" s="1"/>
  <c r="D121" i="16"/>
  <c r="D122" s="1"/>
  <c r="B40" i="7"/>
  <c r="C179" i="1"/>
  <c r="C50"/>
  <c r="A29"/>
  <c r="B47"/>
  <c r="C21" i="9"/>
  <c r="B21" s="1"/>
  <c r="B180" i="7"/>
  <c r="E210" i="6" l="1"/>
  <c r="E211" s="1"/>
  <c r="E200"/>
  <c r="E201"/>
  <c r="J139" i="22"/>
  <c r="J148"/>
  <c r="C41"/>
  <c r="C146" s="1"/>
  <c r="D146"/>
  <c r="E139"/>
  <c r="E148"/>
  <c r="F139"/>
  <c r="F148"/>
  <c r="C80" i="19"/>
  <c r="C81" s="1"/>
  <c r="C82" s="1"/>
  <c r="C90" i="7"/>
  <c r="C91" s="1"/>
  <c r="C92" s="1"/>
  <c r="C117"/>
  <c r="C79" i="21"/>
  <c r="C80" s="1"/>
  <c r="C81" s="1"/>
  <c r="C80" i="14"/>
  <c r="C81" s="1"/>
  <c r="C82" s="1"/>
  <c r="C80" i="16"/>
  <c r="C81" s="1"/>
  <c r="C82" s="1"/>
  <c r="C89" i="11"/>
  <c r="C95" i="7"/>
  <c r="C101"/>
  <c r="C102" s="1"/>
  <c r="C103" s="1"/>
  <c r="C104" s="1"/>
  <c r="C72"/>
  <c r="C73" s="1"/>
  <c r="C75" s="1"/>
  <c r="C94"/>
  <c r="C79"/>
  <c r="C80" s="1"/>
  <c r="C81" s="1"/>
  <c r="C82" s="1"/>
  <c r="C100"/>
  <c r="C89"/>
  <c r="C106"/>
  <c r="C107" s="1"/>
  <c r="C108" s="1"/>
  <c r="C111" i="11"/>
  <c r="C112" s="1"/>
  <c r="E205" i="15"/>
  <c r="E210" s="1"/>
  <c r="E211" s="1"/>
  <c r="E213" i="6"/>
  <c r="E210" i="8"/>
  <c r="E211" s="1"/>
  <c r="I211" i="15"/>
  <c r="I212" s="1"/>
  <c r="E63" i="21"/>
  <c r="E63" i="16"/>
  <c r="E33" i="20"/>
  <c r="E203" i="6"/>
  <c r="E63" i="14"/>
  <c r="E63" i="19"/>
  <c r="E63" i="1"/>
  <c r="B68" i="11"/>
  <c r="A68" s="1"/>
  <c r="H116" i="22"/>
  <c r="H120" s="1"/>
  <c r="H121" s="1"/>
  <c r="G195" i="6"/>
  <c r="I67" i="22"/>
  <c r="H195" i="6"/>
  <c r="J67" i="22"/>
  <c r="I195" i="6"/>
  <c r="G67" i="22"/>
  <c r="F195" i="6"/>
  <c r="H67" i="22"/>
  <c r="I116"/>
  <c r="G116"/>
  <c r="J116"/>
  <c r="C101"/>
  <c r="C116" i="11"/>
  <c r="C95"/>
  <c r="C79"/>
  <c r="C80" s="1"/>
  <c r="C82" s="1"/>
  <c r="C102"/>
  <c r="C104" s="1"/>
  <c r="I69" i="7"/>
  <c r="C100" i="16"/>
  <c r="E127" i="1"/>
  <c r="D127"/>
  <c r="D131" s="1"/>
  <c r="D132" s="1"/>
  <c r="B63" i="7"/>
  <c r="A63" s="1"/>
  <c r="C94" i="16"/>
  <c r="C96" s="1"/>
  <c r="C97" s="1"/>
  <c r="C98" s="1"/>
  <c r="H69" i="7"/>
  <c r="C89" i="16"/>
  <c r="C91" s="1"/>
  <c r="C92" s="1"/>
  <c r="C84"/>
  <c r="C84" i="14"/>
  <c r="C94"/>
  <c r="C96" s="1"/>
  <c r="C97" s="1"/>
  <c r="C72"/>
  <c r="C73" s="1"/>
  <c r="C75" s="1"/>
  <c r="C100"/>
  <c r="C101" i="21"/>
  <c r="C102" s="1"/>
  <c r="C103" s="1"/>
  <c r="C89" i="19"/>
  <c r="C94"/>
  <c r="C96" s="1"/>
  <c r="C97" s="1"/>
  <c r="C84"/>
  <c r="C72"/>
  <c r="C73" s="1"/>
  <c r="C75" s="1"/>
  <c r="C76" s="1"/>
  <c r="C93" i="21"/>
  <c r="C95" s="1"/>
  <c r="C96" s="1"/>
  <c r="C88"/>
  <c r="C90" s="1"/>
  <c r="C91" s="1"/>
  <c r="C71"/>
  <c r="C72" s="1"/>
  <c r="C74" s="1"/>
  <c r="C91" i="19"/>
  <c r="C92" s="1"/>
  <c r="C127" i="7"/>
  <c r="B127" s="1"/>
  <c r="I127" i="1"/>
  <c r="G127"/>
  <c r="H60" i="22"/>
  <c r="D60"/>
  <c r="D148" s="1"/>
  <c r="F127" i="1"/>
  <c r="G60" i="22"/>
  <c r="H127" i="1"/>
  <c r="I60" i="22"/>
  <c r="B179" i="16"/>
  <c r="B179" i="14"/>
  <c r="I50" i="11"/>
  <c r="I149" s="1"/>
  <c r="I195"/>
  <c r="H50"/>
  <c r="H149" s="1"/>
  <c r="H195"/>
  <c r="H10" i="9"/>
  <c r="B50" i="21"/>
  <c r="F50" i="11"/>
  <c r="F149" s="1"/>
  <c r="F195"/>
  <c r="C130" i="21"/>
  <c r="B126"/>
  <c r="B50" i="14"/>
  <c r="D141" i="19"/>
  <c r="D142" s="1"/>
  <c r="D143" s="1"/>
  <c r="D144" s="1"/>
  <c r="D138"/>
  <c r="H214" i="15"/>
  <c r="H213"/>
  <c r="H151" s="1"/>
  <c r="H152" s="1"/>
  <c r="H159" s="1"/>
  <c r="H160" s="1"/>
  <c r="I214" i="8"/>
  <c r="I213"/>
  <c r="I151" s="1"/>
  <c r="I152" s="1"/>
  <c r="I159" s="1"/>
  <c r="H118" i="7"/>
  <c r="G214" i="8"/>
  <c r="G213"/>
  <c r="G151" s="1"/>
  <c r="G152" s="1"/>
  <c r="G159" s="1"/>
  <c r="I118" i="7"/>
  <c r="G118"/>
  <c r="F118"/>
  <c r="E118"/>
  <c r="B70"/>
  <c r="G214" i="15"/>
  <c r="G213"/>
  <c r="G151" s="1"/>
  <c r="G152" s="1"/>
  <c r="G159" s="1"/>
  <c r="G160" s="1"/>
  <c r="H214" i="8"/>
  <c r="H213"/>
  <c r="H151" s="1"/>
  <c r="H152" s="1"/>
  <c r="H159" s="1"/>
  <c r="H160" s="1"/>
  <c r="C127" i="19"/>
  <c r="B50"/>
  <c r="B179"/>
  <c r="B40" i="11"/>
  <c r="E50"/>
  <c r="E149" s="1"/>
  <c r="D50"/>
  <c r="D149" s="1"/>
  <c r="D153" s="1"/>
  <c r="D154" s="1"/>
  <c r="D195"/>
  <c r="B47"/>
  <c r="C50"/>
  <c r="C149" s="1"/>
  <c r="C127" i="16"/>
  <c r="B50"/>
  <c r="D141" i="14"/>
  <c r="D142" s="1"/>
  <c r="D143" s="1"/>
  <c r="D144" s="1"/>
  <c r="D138"/>
  <c r="D141" i="16"/>
  <c r="D142" s="1"/>
  <c r="D143" s="1"/>
  <c r="D144" s="1"/>
  <c r="D138"/>
  <c r="C76"/>
  <c r="C131" i="14"/>
  <c r="B127"/>
  <c r="C10" i="9"/>
  <c r="B179" i="1"/>
  <c r="C127"/>
  <c r="B50"/>
  <c r="F210" i="6" l="1"/>
  <c r="F211" s="1"/>
  <c r="F200"/>
  <c r="F201"/>
  <c r="F203" s="1"/>
  <c r="I200"/>
  <c r="I201"/>
  <c r="H200"/>
  <c r="H201"/>
  <c r="H203" s="1"/>
  <c r="H214" s="1"/>
  <c r="H215" s="1"/>
  <c r="G200"/>
  <c r="G201"/>
  <c r="H139" i="22"/>
  <c r="H148"/>
  <c r="I139"/>
  <c r="I148"/>
  <c r="G139"/>
  <c r="G148"/>
  <c r="I160" i="8"/>
  <c r="C96" i="7"/>
  <c r="C97" s="1"/>
  <c r="C98" s="1"/>
  <c r="E214" i="6"/>
  <c r="E215" s="1"/>
  <c r="G127" i="22"/>
  <c r="F205" i="15"/>
  <c r="F210" s="1"/>
  <c r="F211" s="1"/>
  <c r="F213" i="6"/>
  <c r="F210" i="8"/>
  <c r="F211" s="1"/>
  <c r="F127" i="22"/>
  <c r="E212" i="15"/>
  <c r="E189"/>
  <c r="E189" i="8"/>
  <c r="E212"/>
  <c r="I214" i="15"/>
  <c r="B195" i="6"/>
  <c r="I213" i="15"/>
  <c r="I151" s="1"/>
  <c r="I152" s="1"/>
  <c r="I159" s="1"/>
  <c r="I160" s="1"/>
  <c r="E69" i="21"/>
  <c r="E117" s="1"/>
  <c r="E68"/>
  <c r="E70" i="14"/>
  <c r="E118" s="1"/>
  <c r="E69"/>
  <c r="E70" i="16"/>
  <c r="E118" s="1"/>
  <c r="E69"/>
  <c r="E70" i="19"/>
  <c r="E118" s="1"/>
  <c r="E69"/>
  <c r="E70" i="1"/>
  <c r="E69"/>
  <c r="O33"/>
  <c r="E39" i="20"/>
  <c r="I63" i="21"/>
  <c r="I63" i="14"/>
  <c r="I63" i="16"/>
  <c r="I33" i="20"/>
  <c r="I63" i="1"/>
  <c r="I63" i="19"/>
  <c r="I203" i="6"/>
  <c r="G63" i="21"/>
  <c r="G63" i="19"/>
  <c r="G33" i="20"/>
  <c r="G63" i="14"/>
  <c r="G63" i="1"/>
  <c r="G203" i="6"/>
  <c r="G214" s="1"/>
  <c r="G215" s="1"/>
  <c r="G63" i="16"/>
  <c r="F63" i="21"/>
  <c r="F33" i="20"/>
  <c r="F63" i="14"/>
  <c r="F63" i="16"/>
  <c r="F63" i="19"/>
  <c r="F63" i="1"/>
  <c r="H63" i="21"/>
  <c r="H63" i="1"/>
  <c r="H63" i="16"/>
  <c r="H33" i="20"/>
  <c r="H63" i="14"/>
  <c r="H63" i="19"/>
  <c r="C116" i="22"/>
  <c r="I120"/>
  <c r="I121" s="1"/>
  <c r="G120"/>
  <c r="G121" s="1"/>
  <c r="J121"/>
  <c r="J120"/>
  <c r="C98" i="14"/>
  <c r="C76"/>
  <c r="C131" i="7"/>
  <c r="C132" s="1"/>
  <c r="B10" i="9"/>
  <c r="C60" i="22"/>
  <c r="C148" s="1"/>
  <c r="D139"/>
  <c r="H110" i="7"/>
  <c r="H111" s="1"/>
  <c r="H113" s="1"/>
  <c r="H170" i="8"/>
  <c r="H171" s="1"/>
  <c r="H114" i="7" s="1"/>
  <c r="H148" i="8"/>
  <c r="H161"/>
  <c r="H162" s="1"/>
  <c r="H163" s="1"/>
  <c r="H83" i="7" s="1"/>
  <c r="H170" i="15"/>
  <c r="H171" s="1"/>
  <c r="H134" i="11" s="1"/>
  <c r="H148" i="15"/>
  <c r="H128" i="11"/>
  <c r="H129" s="1"/>
  <c r="H130" s="1"/>
  <c r="H161" i="15"/>
  <c r="H162" s="1"/>
  <c r="H163" s="1"/>
  <c r="H115" i="11" s="1"/>
  <c r="G160" i="8"/>
  <c r="G128" i="11"/>
  <c r="G129" s="1"/>
  <c r="G148" i="15"/>
  <c r="G170"/>
  <c r="G171" s="1"/>
  <c r="G134" i="11" s="1"/>
  <c r="G161" i="15"/>
  <c r="G162" s="1"/>
  <c r="G163" s="1"/>
  <c r="G108" i="11" s="1"/>
  <c r="F155" i="6"/>
  <c r="F156" s="1"/>
  <c r="F152"/>
  <c r="F153" s="1"/>
  <c r="F154" i="15"/>
  <c r="F155" s="1"/>
  <c r="F151"/>
  <c r="F152" s="1"/>
  <c r="F154" i="8"/>
  <c r="F155" s="1"/>
  <c r="F151"/>
  <c r="F152" s="1"/>
  <c r="B195" i="11"/>
  <c r="C97" i="21"/>
  <c r="C75"/>
  <c r="C131"/>
  <c r="C76" i="7"/>
  <c r="C98" i="19"/>
  <c r="C121" s="1"/>
  <c r="B118" i="7"/>
  <c r="A118" s="1"/>
  <c r="C131" i="19"/>
  <c r="B127"/>
  <c r="B50" i="11"/>
  <c r="C131" i="16"/>
  <c r="B127"/>
  <c r="C121"/>
  <c r="C122" s="1"/>
  <c r="C132" i="14"/>
  <c r="B127" i="1"/>
  <c r="C131"/>
  <c r="C132" s="1"/>
  <c r="B149" i="11"/>
  <c r="C153"/>
  <c r="C154" s="1"/>
  <c r="I170" i="15" l="1"/>
  <c r="I171" s="1"/>
  <c r="I134" i="11" s="1"/>
  <c r="I148" i="15"/>
  <c r="I128" i="11"/>
  <c r="I129" s="1"/>
  <c r="I148" i="8"/>
  <c r="I110" i="7"/>
  <c r="I111" s="1"/>
  <c r="I113" s="1"/>
  <c r="I170" i="8"/>
  <c r="I171" s="1"/>
  <c r="I114" i="7" s="1"/>
  <c r="I161" i="8"/>
  <c r="I162" s="1"/>
  <c r="I163" s="1"/>
  <c r="I77" i="7" s="1"/>
  <c r="I161" i="15"/>
  <c r="I162" s="1"/>
  <c r="I163" s="1"/>
  <c r="I115" i="11" s="1"/>
  <c r="F214" i="6"/>
  <c r="F215" s="1"/>
  <c r="E191"/>
  <c r="E118" i="1"/>
  <c r="C86" i="22"/>
  <c r="A86" s="1"/>
  <c r="E213" i="8"/>
  <c r="E151" s="1"/>
  <c r="E152" s="1"/>
  <c r="E159" s="1"/>
  <c r="E214"/>
  <c r="E157" s="1"/>
  <c r="E158" s="1"/>
  <c r="F131" i="22"/>
  <c r="F130"/>
  <c r="F133"/>
  <c r="F132"/>
  <c r="C127"/>
  <c r="G133"/>
  <c r="G130"/>
  <c r="G131"/>
  <c r="G132"/>
  <c r="F189" i="15"/>
  <c r="F212"/>
  <c r="E213"/>
  <c r="E151" s="1"/>
  <c r="E152" s="1"/>
  <c r="E159" s="1"/>
  <c r="E214"/>
  <c r="E157" s="1"/>
  <c r="E158" s="1"/>
  <c r="F212" i="8"/>
  <c r="F189"/>
  <c r="E216" i="6"/>
  <c r="E152" s="1"/>
  <c r="E153" s="1"/>
  <c r="E160" s="1"/>
  <c r="E217"/>
  <c r="E158" s="1"/>
  <c r="E159" s="1"/>
  <c r="O39" i="1"/>
  <c r="E44" i="20"/>
  <c r="H70" i="16"/>
  <c r="H118" s="1"/>
  <c r="H69"/>
  <c r="H217" i="6"/>
  <c r="H216"/>
  <c r="H152" s="1"/>
  <c r="H153" s="1"/>
  <c r="H160" s="1"/>
  <c r="H161" s="1"/>
  <c r="H110" i="19" s="1"/>
  <c r="H111" s="1"/>
  <c r="H112" s="1"/>
  <c r="F70" i="16"/>
  <c r="F69"/>
  <c r="B63"/>
  <c r="A63" s="1"/>
  <c r="F69" i="21"/>
  <c r="F68"/>
  <c r="B63"/>
  <c r="A63" s="1"/>
  <c r="G69" i="1"/>
  <c r="G70"/>
  <c r="G68" i="21"/>
  <c r="G69"/>
  <c r="G117" s="1"/>
  <c r="I70" i="1"/>
  <c r="I69"/>
  <c r="I68" i="21"/>
  <c r="I69"/>
  <c r="R33" i="1"/>
  <c r="H39" i="20"/>
  <c r="H69" i="21"/>
  <c r="H117" s="1"/>
  <c r="H68"/>
  <c r="F69" i="19"/>
  <c r="B63"/>
  <c r="A63" s="1"/>
  <c r="F70"/>
  <c r="P33" i="1"/>
  <c r="F39" i="20"/>
  <c r="B33"/>
  <c r="G69" i="19"/>
  <c r="G70"/>
  <c r="G118" s="1"/>
  <c r="I69"/>
  <c r="I70"/>
  <c r="I70" i="14"/>
  <c r="I69"/>
  <c r="H69"/>
  <c r="H70"/>
  <c r="H70" i="1"/>
  <c r="H69"/>
  <c r="F69"/>
  <c r="B63"/>
  <c r="A63" s="1"/>
  <c r="F70"/>
  <c r="F70" i="14"/>
  <c r="F118" s="1"/>
  <c r="F69"/>
  <c r="B63"/>
  <c r="A63" s="1"/>
  <c r="G217" i="6"/>
  <c r="G216"/>
  <c r="G152" s="1"/>
  <c r="G153" s="1"/>
  <c r="G160" s="1"/>
  <c r="G161" s="1"/>
  <c r="G110" i="16" s="1"/>
  <c r="G111" s="1"/>
  <c r="G112" s="1"/>
  <c r="G39" i="20"/>
  <c r="Q33" i="1"/>
  <c r="I70" i="16"/>
  <c r="I69"/>
  <c r="H70" i="19"/>
  <c r="H118" s="1"/>
  <c r="H69"/>
  <c r="G69" i="16"/>
  <c r="G70"/>
  <c r="G118" s="1"/>
  <c r="G70" i="14"/>
  <c r="G118" s="1"/>
  <c r="G69"/>
  <c r="I214" i="6"/>
  <c r="I215" s="1"/>
  <c r="I39" i="20"/>
  <c r="S33" i="1"/>
  <c r="C121" i="22"/>
  <c r="C121" i="14"/>
  <c r="C122" s="1"/>
  <c r="C139" i="22"/>
  <c r="H101" i="11"/>
  <c r="H93" i="7"/>
  <c r="H105"/>
  <c r="H78" i="11"/>
  <c r="H99" i="7"/>
  <c r="H112"/>
  <c r="H108" i="11"/>
  <c r="H88" i="7"/>
  <c r="H77"/>
  <c r="H71"/>
  <c r="H122" i="11"/>
  <c r="H86"/>
  <c r="H131"/>
  <c r="H94"/>
  <c r="H85" i="7"/>
  <c r="H86" s="1"/>
  <c r="H87" s="1"/>
  <c r="H117"/>
  <c r="H79"/>
  <c r="H80" s="1"/>
  <c r="H81" s="1"/>
  <c r="H82" s="1"/>
  <c r="H101"/>
  <c r="H102" s="1"/>
  <c r="H103" s="1"/>
  <c r="H104" s="1"/>
  <c r="H95"/>
  <c r="H96" s="1"/>
  <c r="H97" s="1"/>
  <c r="H90"/>
  <c r="H91" s="1"/>
  <c r="H92" s="1"/>
  <c r="H106"/>
  <c r="H74"/>
  <c r="G115" i="11"/>
  <c r="G122"/>
  <c r="G101"/>
  <c r="G78"/>
  <c r="G94"/>
  <c r="G130"/>
  <c r="G131" s="1"/>
  <c r="G170" i="8"/>
  <c r="G171" s="1"/>
  <c r="G114" i="7" s="1"/>
  <c r="G148" i="8"/>
  <c r="G110" i="7"/>
  <c r="G111" s="1"/>
  <c r="G112" s="1"/>
  <c r="G161" i="8"/>
  <c r="G162" s="1"/>
  <c r="G163" s="1"/>
  <c r="G71" i="7" s="1"/>
  <c r="G86" i="11"/>
  <c r="F159" i="15"/>
  <c r="F160" s="1"/>
  <c r="F187" s="1"/>
  <c r="F159" i="8"/>
  <c r="F160" s="1"/>
  <c r="F110" i="7" s="1"/>
  <c r="F160" i="6"/>
  <c r="F161" s="1"/>
  <c r="F188" s="1"/>
  <c r="C132" i="19"/>
  <c r="C122"/>
  <c r="C132" i="16"/>
  <c r="F191" i="6" l="1"/>
  <c r="I94" i="11"/>
  <c r="I86"/>
  <c r="I112" i="7"/>
  <c r="I78" i="11"/>
  <c r="I106" i="7"/>
  <c r="I95"/>
  <c r="I96" s="1"/>
  <c r="I97" s="1"/>
  <c r="I90"/>
  <c r="I91" s="1"/>
  <c r="I92" s="1"/>
  <c r="I85"/>
  <c r="I86" s="1"/>
  <c r="I87" s="1"/>
  <c r="I79"/>
  <c r="I80" s="1"/>
  <c r="I81" s="1"/>
  <c r="I82" s="1"/>
  <c r="I117"/>
  <c r="I101"/>
  <c r="I102" s="1"/>
  <c r="I103" s="1"/>
  <c r="I104" s="1"/>
  <c r="I74"/>
  <c r="I122" i="11"/>
  <c r="I130"/>
  <c r="I131" s="1"/>
  <c r="I108"/>
  <c r="I99" i="7"/>
  <c r="I88"/>
  <c r="I93"/>
  <c r="I71"/>
  <c r="I78" s="1"/>
  <c r="I89" s="1"/>
  <c r="I105"/>
  <c r="I83"/>
  <c r="I101" i="11"/>
  <c r="E160" i="15"/>
  <c r="E128" i="11" s="1"/>
  <c r="G134" i="22"/>
  <c r="G118" i="1"/>
  <c r="H118"/>
  <c r="F188" i="15"/>
  <c r="F142" i="11" s="1"/>
  <c r="C133" i="22"/>
  <c r="F135"/>
  <c r="C132"/>
  <c r="F213" i="15"/>
  <c r="F214"/>
  <c r="E160" i="8"/>
  <c r="F134" i="22"/>
  <c r="C131"/>
  <c r="G135"/>
  <c r="F214" i="8"/>
  <c r="F213"/>
  <c r="C130" i="22"/>
  <c r="E161" i="6"/>
  <c r="E45" i="20"/>
  <c r="O44" i="1"/>
  <c r="H110" i="14"/>
  <c r="H111" s="1"/>
  <c r="H113" s="1"/>
  <c r="H85" s="1"/>
  <c r="H86" s="1"/>
  <c r="H110" i="16"/>
  <c r="H111" s="1"/>
  <c r="H113" s="1"/>
  <c r="H117" s="1"/>
  <c r="G110" i="14"/>
  <c r="G111" s="1"/>
  <c r="G112" s="1"/>
  <c r="G110" i="1"/>
  <c r="G111" s="1"/>
  <c r="G112" s="1"/>
  <c r="G162" i="6"/>
  <c r="G163" s="1"/>
  <c r="G164" s="1"/>
  <c r="G71" i="1" s="1"/>
  <c r="G149" i="6"/>
  <c r="H162"/>
  <c r="H163" s="1"/>
  <c r="H164" s="1"/>
  <c r="H83" i="19" s="1"/>
  <c r="H172" i="6"/>
  <c r="H173" s="1"/>
  <c r="H114" i="16" s="1"/>
  <c r="G172" i="6"/>
  <c r="G173" s="1"/>
  <c r="G113" i="21" s="1"/>
  <c r="G110" i="19"/>
  <c r="G111" s="1"/>
  <c r="G112" s="1"/>
  <c r="G113" s="1"/>
  <c r="H110" i="1"/>
  <c r="H111" s="1"/>
  <c r="H112" s="1"/>
  <c r="H109" i="21"/>
  <c r="H110" s="1"/>
  <c r="H111" s="1"/>
  <c r="G109"/>
  <c r="G110" s="1"/>
  <c r="G111" s="1"/>
  <c r="H149" i="6"/>
  <c r="F217"/>
  <c r="F216"/>
  <c r="I118" i="16"/>
  <c r="F118" i="1"/>
  <c r="B70"/>
  <c r="F118" i="16"/>
  <c r="B70"/>
  <c r="P39" i="1"/>
  <c r="F44" i="20"/>
  <c r="B39"/>
  <c r="L39" i="1" s="1"/>
  <c r="I117" i="21"/>
  <c r="Q39" i="1"/>
  <c r="G44" i="20"/>
  <c r="I118" i="19"/>
  <c r="L33" i="1"/>
  <c r="A33" i="20"/>
  <c r="K33" i="1" s="1"/>
  <c r="R39"/>
  <c r="H44" i="20"/>
  <c r="I118" i="1"/>
  <c r="S39"/>
  <c r="I44" i="20"/>
  <c r="I216" i="6"/>
  <c r="I152" s="1"/>
  <c r="I153" s="1"/>
  <c r="I160" s="1"/>
  <c r="I161" s="1"/>
  <c r="I217"/>
  <c r="B70" i="14"/>
  <c r="H118"/>
  <c r="I118"/>
  <c r="F118" i="19"/>
  <c r="B70"/>
  <c r="F117" i="21"/>
  <c r="B69"/>
  <c r="I72" i="7"/>
  <c r="I73" s="1"/>
  <c r="I131" i="21"/>
  <c r="I199"/>
  <c r="H87" i="11"/>
  <c r="H95" s="1"/>
  <c r="H107" i="7"/>
  <c r="H108" s="1"/>
  <c r="H78"/>
  <c r="H100" s="1"/>
  <c r="H103" i="11"/>
  <c r="H104" s="1"/>
  <c r="H88"/>
  <c r="H89" s="1"/>
  <c r="H110"/>
  <c r="H111" s="1"/>
  <c r="H112" s="1"/>
  <c r="H123"/>
  <c r="H124" s="1"/>
  <c r="H96"/>
  <c r="H97" s="1"/>
  <c r="H117"/>
  <c r="H118" s="1"/>
  <c r="H119" s="1"/>
  <c r="H81"/>
  <c r="H113" i="19"/>
  <c r="G87" i="11"/>
  <c r="G116" s="1"/>
  <c r="G88"/>
  <c r="G89" s="1"/>
  <c r="G117"/>
  <c r="G118" s="1"/>
  <c r="G119" s="1"/>
  <c r="G96"/>
  <c r="G97" s="1"/>
  <c r="G81"/>
  <c r="G123"/>
  <c r="G124" s="1"/>
  <c r="G110"/>
  <c r="G111" s="1"/>
  <c r="G112" s="1"/>
  <c r="G103"/>
  <c r="G104" s="1"/>
  <c r="F186" i="15"/>
  <c r="F148"/>
  <c r="F170" i="8"/>
  <c r="F171" s="1"/>
  <c r="F114" i="7" s="1"/>
  <c r="F186" i="8"/>
  <c r="G88" i="7"/>
  <c r="F148" i="8"/>
  <c r="F109" i="21"/>
  <c r="F110" i="19"/>
  <c r="F162" i="6"/>
  <c r="F163" s="1"/>
  <c r="F164" s="1"/>
  <c r="F70" i="21" s="1"/>
  <c r="G113" i="16"/>
  <c r="G105" i="7"/>
  <c r="G77"/>
  <c r="G78" s="1"/>
  <c r="F110" i="14"/>
  <c r="F149" i="6"/>
  <c r="G99" i="7"/>
  <c r="F172" i="6"/>
  <c r="F173" s="1"/>
  <c r="G93" i="7"/>
  <c r="G113"/>
  <c r="F189" i="6"/>
  <c r="F110" i="1"/>
  <c r="F187" i="8"/>
  <c r="F188" s="1"/>
  <c r="F161"/>
  <c r="F162" s="1"/>
  <c r="F163" s="1"/>
  <c r="F110" i="16"/>
  <c r="F170" i="15"/>
  <c r="F171" s="1"/>
  <c r="F134" i="11" s="1"/>
  <c r="F161" i="15"/>
  <c r="F162" s="1"/>
  <c r="F163" s="1"/>
  <c r="F128" i="11"/>
  <c r="I94" i="7" l="1"/>
  <c r="I84"/>
  <c r="I100"/>
  <c r="F190" i="6"/>
  <c r="F111" i="14" s="1"/>
  <c r="F112" s="1"/>
  <c r="I75" i="7"/>
  <c r="I98" s="1"/>
  <c r="I107"/>
  <c r="I108" s="1"/>
  <c r="I87" i="11"/>
  <c r="I102" s="1"/>
  <c r="I76" i="7"/>
  <c r="I109" i="21"/>
  <c r="I110" s="1"/>
  <c r="I111" s="1"/>
  <c r="I172" i="6"/>
  <c r="I173" s="1"/>
  <c r="I110" i="19"/>
  <c r="I111" s="1"/>
  <c r="I112" s="1"/>
  <c r="I110" i="16"/>
  <c r="I111" s="1"/>
  <c r="I112" s="1"/>
  <c r="I149" i="6"/>
  <c r="I110" i="1"/>
  <c r="I111" s="1"/>
  <c r="I112" s="1"/>
  <c r="I110" i="14"/>
  <c r="I111" s="1"/>
  <c r="I113" s="1"/>
  <c r="I162" i="6"/>
  <c r="I163" s="1"/>
  <c r="I164" s="1"/>
  <c r="I99" i="16" s="1"/>
  <c r="I96" i="11"/>
  <c r="I97" s="1"/>
  <c r="I88"/>
  <c r="I89" s="1"/>
  <c r="I123"/>
  <c r="I124" s="1"/>
  <c r="I117"/>
  <c r="I118" s="1"/>
  <c r="I119" s="1"/>
  <c r="I103"/>
  <c r="I104" s="1"/>
  <c r="I110"/>
  <c r="I111" s="1"/>
  <c r="I112" s="1"/>
  <c r="I81"/>
  <c r="F129"/>
  <c r="F130" s="1"/>
  <c r="F131" s="1"/>
  <c r="F96" s="1"/>
  <c r="F97" s="1"/>
  <c r="E161" i="15"/>
  <c r="E162" s="1"/>
  <c r="E163" s="1"/>
  <c r="E78" i="11" s="1"/>
  <c r="E148" i="15"/>
  <c r="E170"/>
  <c r="E171" s="1"/>
  <c r="E134" i="11" s="1"/>
  <c r="B134" s="1"/>
  <c r="A134" s="1"/>
  <c r="E186" i="15"/>
  <c r="E187" s="1"/>
  <c r="E188" s="1"/>
  <c r="E142" i="11" s="1"/>
  <c r="B142" s="1"/>
  <c r="A142" s="1"/>
  <c r="C135" i="22"/>
  <c r="E161" i="8"/>
  <c r="E162" s="1"/>
  <c r="E163" s="1"/>
  <c r="E88" i="7" s="1"/>
  <c r="E148" i="8"/>
  <c r="E186"/>
  <c r="E187" s="1"/>
  <c r="E188" s="1"/>
  <c r="E170"/>
  <c r="E171" s="1"/>
  <c r="E114" i="7" s="1"/>
  <c r="B114" s="1"/>
  <c r="A114" s="1"/>
  <c r="E110"/>
  <c r="E172" i="6"/>
  <c r="E173" s="1"/>
  <c r="E188"/>
  <c r="E189" s="1"/>
  <c r="E190" s="1"/>
  <c r="E110" i="16"/>
  <c r="E109" i="21"/>
  <c r="E110" i="1"/>
  <c r="E162" i="6"/>
  <c r="E163" s="1"/>
  <c r="E164" s="1"/>
  <c r="E149"/>
  <c r="E110" i="19"/>
  <c r="E110" i="14"/>
  <c r="H83" i="16"/>
  <c r="O45" i="1"/>
  <c r="E46" i="20"/>
  <c r="O46" i="1" s="1"/>
  <c r="H101" i="16"/>
  <c r="H102" s="1"/>
  <c r="H103" s="1"/>
  <c r="H104" s="1"/>
  <c r="H114" i="14"/>
  <c r="H90" i="16"/>
  <c r="H91" s="1"/>
  <c r="H92" s="1"/>
  <c r="H112" i="14"/>
  <c r="H79"/>
  <c r="H80" s="1"/>
  <c r="H81" s="1"/>
  <c r="H87" i="21"/>
  <c r="H95" i="14"/>
  <c r="H96" s="1"/>
  <c r="H97" s="1"/>
  <c r="H90"/>
  <c r="H91" s="1"/>
  <c r="H101"/>
  <c r="H102" s="1"/>
  <c r="H103" s="1"/>
  <c r="H117"/>
  <c r="H106"/>
  <c r="H74"/>
  <c r="H74" i="16"/>
  <c r="H85"/>
  <c r="H86" s="1"/>
  <c r="H112"/>
  <c r="H95"/>
  <c r="H96" s="1"/>
  <c r="H97" s="1"/>
  <c r="H113" i="21"/>
  <c r="H79" i="16"/>
  <c r="H80" s="1"/>
  <c r="H81" s="1"/>
  <c r="H82" s="1"/>
  <c r="H114" i="1"/>
  <c r="H88"/>
  <c r="G93" i="16"/>
  <c r="G77" i="1"/>
  <c r="G78" s="1"/>
  <c r="G83" i="19"/>
  <c r="G83" i="14"/>
  <c r="G114" i="19"/>
  <c r="G76" i="21"/>
  <c r="G105" i="16"/>
  <c r="H105" i="14"/>
  <c r="G88"/>
  <c r="G77"/>
  <c r="G77" i="19"/>
  <c r="G83" i="16"/>
  <c r="H106"/>
  <c r="H99" i="19"/>
  <c r="H92" i="21"/>
  <c r="H71" i="1"/>
  <c r="H114" i="19"/>
  <c r="H112" i="21"/>
  <c r="H78" s="1"/>
  <c r="H79" s="1"/>
  <c r="H80" s="1"/>
  <c r="G113" i="1"/>
  <c r="G90" s="1"/>
  <c r="G91" s="1"/>
  <c r="G113" i="14"/>
  <c r="G95" s="1"/>
  <c r="G96" s="1"/>
  <c r="G97" s="1"/>
  <c r="H99"/>
  <c r="H77"/>
  <c r="H98" i="21"/>
  <c r="H93" i="19"/>
  <c r="H82" i="21"/>
  <c r="H71" i="14"/>
  <c r="H93" i="1"/>
  <c r="H88" i="19"/>
  <c r="H83" i="14"/>
  <c r="H113" i="1"/>
  <c r="H90" s="1"/>
  <c r="H91" s="1"/>
  <c r="H77" i="19"/>
  <c r="H88" i="16"/>
  <c r="H83" i="1"/>
  <c r="H77"/>
  <c r="H70" i="21"/>
  <c r="H93" i="16"/>
  <c r="H71"/>
  <c r="H105" i="1"/>
  <c r="H104" i="21"/>
  <c r="H77" i="16"/>
  <c r="H93" i="14"/>
  <c r="H105" i="19"/>
  <c r="H71"/>
  <c r="H99" i="16"/>
  <c r="H88" i="14"/>
  <c r="H99" i="1"/>
  <c r="H105" i="16"/>
  <c r="H76" i="21"/>
  <c r="G104"/>
  <c r="G71" i="14"/>
  <c r="G71" i="16"/>
  <c r="G114" i="1"/>
  <c r="G93" i="14"/>
  <c r="G99" i="16"/>
  <c r="G88" i="1"/>
  <c r="G71" i="19"/>
  <c r="G99" i="14"/>
  <c r="G105" i="19"/>
  <c r="G93" i="1"/>
  <c r="G114" i="16"/>
  <c r="G98" i="21"/>
  <c r="G99" i="1"/>
  <c r="G99" i="19"/>
  <c r="G105" i="1"/>
  <c r="G88" i="16"/>
  <c r="G70" i="21"/>
  <c r="G93" i="19"/>
  <c r="G92" i="21"/>
  <c r="G114" i="14"/>
  <c r="G112" i="21"/>
  <c r="G116" s="1"/>
  <c r="G77" i="16"/>
  <c r="G88" i="19"/>
  <c r="G87" i="21"/>
  <c r="G105" i="14"/>
  <c r="B118"/>
  <c r="A118" s="1"/>
  <c r="B118" i="19"/>
  <c r="A118" s="1"/>
  <c r="S44" i="1"/>
  <c r="I45" i="20"/>
  <c r="G45"/>
  <c r="Q44" i="1"/>
  <c r="B117" i="21"/>
  <c r="A117" s="1"/>
  <c r="B118" i="1"/>
  <c r="A118" s="1"/>
  <c r="F45" i="20"/>
  <c r="P44" i="1"/>
  <c r="R44"/>
  <c r="H45" i="20"/>
  <c r="B118" i="16"/>
  <c r="A118" s="1"/>
  <c r="H116" i="11"/>
  <c r="F83" i="14"/>
  <c r="H109" i="11"/>
  <c r="H102"/>
  <c r="H79"/>
  <c r="H80" s="1"/>
  <c r="H82" s="1"/>
  <c r="H72" i="7"/>
  <c r="H73" s="1"/>
  <c r="H75" s="1"/>
  <c r="H84"/>
  <c r="H89"/>
  <c r="H94"/>
  <c r="F105" i="19"/>
  <c r="H87" i="16"/>
  <c r="H85" i="19"/>
  <c r="H86" s="1"/>
  <c r="H95"/>
  <c r="H96" s="1"/>
  <c r="H97" s="1"/>
  <c r="H79"/>
  <c r="H80" s="1"/>
  <c r="H81" s="1"/>
  <c r="H90"/>
  <c r="H91" s="1"/>
  <c r="H106"/>
  <c r="H117"/>
  <c r="H101"/>
  <c r="H102" s="1"/>
  <c r="H103" s="1"/>
  <c r="H74"/>
  <c r="H87"/>
  <c r="H92" i="14"/>
  <c r="H87"/>
  <c r="F99" i="16"/>
  <c r="F77" i="14"/>
  <c r="G79" i="11"/>
  <c r="G80" s="1"/>
  <c r="G82" s="1"/>
  <c r="F105" i="1"/>
  <c r="G95" i="11"/>
  <c r="G102"/>
  <c r="G109"/>
  <c r="F105" i="7"/>
  <c r="G106" i="19"/>
  <c r="G95"/>
  <c r="G96" s="1"/>
  <c r="G97" s="1"/>
  <c r="G117"/>
  <c r="G85"/>
  <c r="G86" s="1"/>
  <c r="G87" s="1"/>
  <c r="G101"/>
  <c r="G102" s="1"/>
  <c r="G103" s="1"/>
  <c r="G79"/>
  <c r="G80" s="1"/>
  <c r="G81" s="1"/>
  <c r="G90"/>
  <c r="G91" s="1"/>
  <c r="G74"/>
  <c r="F110" i="11"/>
  <c r="F111" s="1"/>
  <c r="F112" s="1"/>
  <c r="F92" i="21"/>
  <c r="F93" i="1"/>
  <c r="F87" i="21"/>
  <c r="G84" i="7"/>
  <c r="F83" i="19"/>
  <c r="F71" i="1"/>
  <c r="F88" i="16"/>
  <c r="F88" i="19"/>
  <c r="F77"/>
  <c r="F104" i="21"/>
  <c r="F77" i="16"/>
  <c r="F93" i="14"/>
  <c r="F71" i="19"/>
  <c r="F105" i="16"/>
  <c r="G79" i="7"/>
  <c r="G80" s="1"/>
  <c r="G81" s="1"/>
  <c r="G82" s="1"/>
  <c r="G117"/>
  <c r="G95"/>
  <c r="G96" s="1"/>
  <c r="G97" s="1"/>
  <c r="G90"/>
  <c r="G91" s="1"/>
  <c r="G92" s="1"/>
  <c r="G106"/>
  <c r="G107" s="1"/>
  <c r="G108" s="1"/>
  <c r="G101"/>
  <c r="G102" s="1"/>
  <c r="G103" s="1"/>
  <c r="G104" s="1"/>
  <c r="G74"/>
  <c r="G94"/>
  <c r="G72"/>
  <c r="G73" s="1"/>
  <c r="G100"/>
  <c r="G89"/>
  <c r="F99" i="14"/>
  <c r="F76" i="21"/>
  <c r="F77" s="1"/>
  <c r="F114" i="1"/>
  <c r="F114" i="19"/>
  <c r="F114" i="16"/>
  <c r="F114" i="14"/>
  <c r="F113" i="21"/>
  <c r="F105" i="14"/>
  <c r="F99" i="19"/>
  <c r="F93"/>
  <c r="F93" i="16"/>
  <c r="F77" i="1"/>
  <c r="F71" i="16"/>
  <c r="F99" i="1"/>
  <c r="F98" i="21"/>
  <c r="F88" i="14"/>
  <c r="F83" i="16"/>
  <c r="F71" i="14"/>
  <c r="G117" i="16"/>
  <c r="G106"/>
  <c r="G90"/>
  <c r="G91" s="1"/>
  <c r="G92" s="1"/>
  <c r="G101"/>
  <c r="G102" s="1"/>
  <c r="G103" s="1"/>
  <c r="G85"/>
  <c r="G86" s="1"/>
  <c r="G87" s="1"/>
  <c r="G95"/>
  <c r="G96" s="1"/>
  <c r="G97" s="1"/>
  <c r="G79"/>
  <c r="G80" s="1"/>
  <c r="G81" s="1"/>
  <c r="G74"/>
  <c r="F88" i="1"/>
  <c r="F101" i="11"/>
  <c r="F78"/>
  <c r="F86"/>
  <c r="F94"/>
  <c r="F122"/>
  <c r="F115"/>
  <c r="F108"/>
  <c r="F120" i="7"/>
  <c r="F111"/>
  <c r="F112" s="1"/>
  <c r="F113" s="1"/>
  <c r="F120" i="19"/>
  <c r="F77" i="7"/>
  <c r="F93"/>
  <c r="F71"/>
  <c r="F99"/>
  <c r="F88"/>
  <c r="G92" i="19" l="1"/>
  <c r="H92"/>
  <c r="G92" i="1"/>
  <c r="H143" i="22" s="1"/>
  <c r="H104" i="14"/>
  <c r="H92" i="1"/>
  <c r="I143" i="22" s="1"/>
  <c r="H104" i="19"/>
  <c r="G104"/>
  <c r="F111" i="1"/>
  <c r="F112" s="1"/>
  <c r="F113" s="1"/>
  <c r="F90" s="1"/>
  <c r="F91" s="1"/>
  <c r="F120"/>
  <c r="F120" i="14"/>
  <c r="F111" i="16"/>
  <c r="F112" s="1"/>
  <c r="F113" s="1"/>
  <c r="F85" s="1"/>
  <c r="F86" s="1"/>
  <c r="F111" i="19"/>
  <c r="F112" s="1"/>
  <c r="F110" i="21"/>
  <c r="F112" s="1"/>
  <c r="F120" i="16"/>
  <c r="F119" i="21"/>
  <c r="I79" i="11"/>
  <c r="I80" s="1"/>
  <c r="I82" s="1"/>
  <c r="I116"/>
  <c r="I95"/>
  <c r="I109"/>
  <c r="I105" i="1"/>
  <c r="I71"/>
  <c r="I112" i="14"/>
  <c r="I70" i="21"/>
  <c r="I93" i="1"/>
  <c r="I105" i="14"/>
  <c r="I92" i="21"/>
  <c r="I82"/>
  <c r="I105" i="19"/>
  <c r="I71" i="16"/>
  <c r="I121" i="7"/>
  <c r="I71" i="14"/>
  <c r="I98" i="21"/>
  <c r="I77" i="16"/>
  <c r="I78" s="1"/>
  <c r="I88" i="1"/>
  <c r="I117" i="14"/>
  <c r="I85"/>
  <c r="I86" s="1"/>
  <c r="I90"/>
  <c r="I91" s="1"/>
  <c r="I95"/>
  <c r="I96" s="1"/>
  <c r="I97" s="1"/>
  <c r="I101"/>
  <c r="I102" s="1"/>
  <c r="I103" s="1"/>
  <c r="I106"/>
  <c r="I79"/>
  <c r="I80" s="1"/>
  <c r="I81" s="1"/>
  <c r="I74"/>
  <c r="I113" i="19"/>
  <c r="I99" i="14"/>
  <c r="I83" i="1"/>
  <c r="I77" i="14"/>
  <c r="I77" i="1"/>
  <c r="I104" i="21"/>
  <c r="I88" i="16"/>
  <c r="I93" i="14"/>
  <c r="I76" i="21"/>
  <c r="I77" s="1"/>
  <c r="I113" i="16"/>
  <c r="I93" i="19"/>
  <c r="I99"/>
  <c r="I71"/>
  <c r="I88" i="14"/>
  <c r="I105" i="16"/>
  <c r="I77" i="19"/>
  <c r="I88"/>
  <c r="I83"/>
  <c r="I93" i="16"/>
  <c r="I112" i="21"/>
  <c r="I113"/>
  <c r="I114" i="1"/>
  <c r="I114" i="14"/>
  <c r="I114" i="19"/>
  <c r="I114" i="16"/>
  <c r="I83"/>
  <c r="I83" i="14"/>
  <c r="I99" i="1"/>
  <c r="I87" i="21"/>
  <c r="I113" i="1"/>
  <c r="F81" i="11"/>
  <c r="F117"/>
  <c r="F118" s="1"/>
  <c r="F119" s="1"/>
  <c r="F123"/>
  <c r="F124" s="1"/>
  <c r="E86"/>
  <c r="E87" s="1"/>
  <c r="E108"/>
  <c r="F88"/>
  <c r="F89" s="1"/>
  <c r="E115"/>
  <c r="E94"/>
  <c r="E122"/>
  <c r="F103"/>
  <c r="F104" s="1"/>
  <c r="E101"/>
  <c r="E129"/>
  <c r="E130" s="1"/>
  <c r="E131" s="1"/>
  <c r="H106" i="1"/>
  <c r="H107" s="1"/>
  <c r="H108" s="1"/>
  <c r="G79"/>
  <c r="G80" s="1"/>
  <c r="G81" s="1"/>
  <c r="G82" s="1"/>
  <c r="E77" i="7"/>
  <c r="E93"/>
  <c r="E71"/>
  <c r="E120"/>
  <c r="B120" s="1"/>
  <c r="A120" s="1"/>
  <c r="E111"/>
  <c r="E99"/>
  <c r="E105"/>
  <c r="H78" i="14"/>
  <c r="H84" s="1"/>
  <c r="G106"/>
  <c r="G107" s="1"/>
  <c r="G108" s="1"/>
  <c r="E113" i="21"/>
  <c r="E114" i="1"/>
  <c r="E114" i="19"/>
  <c r="E114" i="14"/>
  <c r="E114" i="16"/>
  <c r="E77" i="1"/>
  <c r="E99"/>
  <c r="E83" i="19"/>
  <c r="E88" i="14"/>
  <c r="E77"/>
  <c r="E83"/>
  <c r="E93"/>
  <c r="E83" i="16"/>
  <c r="E105" i="1"/>
  <c r="E71" i="19"/>
  <c r="E88" i="16"/>
  <c r="E93" i="19"/>
  <c r="E88" i="1"/>
  <c r="E99" i="14"/>
  <c r="E71"/>
  <c r="E98" i="21"/>
  <c r="E105" i="14"/>
  <c r="E77" i="16"/>
  <c r="E99"/>
  <c r="E93" i="1"/>
  <c r="E104" i="21"/>
  <c r="E99" i="19"/>
  <c r="E92" i="21"/>
  <c r="E76"/>
  <c r="E105" i="19"/>
  <c r="E77"/>
  <c r="E70" i="21"/>
  <c r="E87"/>
  <c r="E71" i="16"/>
  <c r="E88" i="19"/>
  <c r="E93" i="16"/>
  <c r="E71" i="1"/>
  <c r="E105" i="16"/>
  <c r="E119" i="21"/>
  <c r="E120" i="16"/>
  <c r="E111" i="19"/>
  <c r="E111" i="16"/>
  <c r="E112" s="1"/>
  <c r="E113" s="1"/>
  <c r="E111" i="1"/>
  <c r="E120" i="19"/>
  <c r="B120" s="1"/>
  <c r="E120" i="1"/>
  <c r="E110" i="21"/>
  <c r="E120" i="14"/>
  <c r="E111"/>
  <c r="E112" s="1"/>
  <c r="E113" s="1"/>
  <c r="H82"/>
  <c r="G82" i="16"/>
  <c r="H81" i="21"/>
  <c r="G85" i="14"/>
  <c r="G86" s="1"/>
  <c r="G87" s="1"/>
  <c r="G95" i="1"/>
  <c r="G96" s="1"/>
  <c r="G97" s="1"/>
  <c r="G74"/>
  <c r="H94" i="21"/>
  <c r="H95" s="1"/>
  <c r="H96" s="1"/>
  <c r="G101" i="1"/>
  <c r="G102" s="1"/>
  <c r="G103" s="1"/>
  <c r="G104" s="1"/>
  <c r="G117"/>
  <c r="G89" i="21"/>
  <c r="G90" s="1"/>
  <c r="G91" s="1"/>
  <c r="G107" i="16"/>
  <c r="G108" s="1"/>
  <c r="G106" i="1"/>
  <c r="G107" s="1"/>
  <c r="G108" s="1"/>
  <c r="G78" i="19"/>
  <c r="G72" s="1"/>
  <c r="G73" s="1"/>
  <c r="G75" s="1"/>
  <c r="G104" i="16"/>
  <c r="H117" i="1"/>
  <c r="G82" i="19"/>
  <c r="H77" i="21"/>
  <c r="H83" s="1"/>
  <c r="G89" i="1"/>
  <c r="G105" i="21"/>
  <c r="G106" s="1"/>
  <c r="G107" s="1"/>
  <c r="H107" i="14"/>
  <c r="H108" s="1"/>
  <c r="H78" i="19"/>
  <c r="H100" s="1"/>
  <c r="G77" i="21"/>
  <c r="G99" s="1"/>
  <c r="G100" i="1"/>
  <c r="G84"/>
  <c r="H116" i="21"/>
  <c r="H101" i="1"/>
  <c r="H102" s="1"/>
  <c r="H103" s="1"/>
  <c r="H104" s="1"/>
  <c r="H84" i="21"/>
  <c r="H85" s="1"/>
  <c r="H86" s="1"/>
  <c r="H95" i="1"/>
  <c r="H96" s="1"/>
  <c r="H97" s="1"/>
  <c r="H73" i="21"/>
  <c r="H74" i="1"/>
  <c r="G78" i="14"/>
  <c r="G72" s="1"/>
  <c r="G73" s="1"/>
  <c r="G74"/>
  <c r="G79"/>
  <c r="G80" s="1"/>
  <c r="G81" s="1"/>
  <c r="G82" s="1"/>
  <c r="H78" i="16"/>
  <c r="H72" s="1"/>
  <c r="H73" s="1"/>
  <c r="H75" s="1"/>
  <c r="H76" s="1"/>
  <c r="G101" i="14"/>
  <c r="G102" s="1"/>
  <c r="G103" s="1"/>
  <c r="G117"/>
  <c r="H78" i="1"/>
  <c r="H100" s="1"/>
  <c r="G90" i="14"/>
  <c r="G91" s="1"/>
  <c r="G92" s="1"/>
  <c r="H107" i="16"/>
  <c r="H108" s="1"/>
  <c r="G78"/>
  <c r="G89" s="1"/>
  <c r="G94" i="1"/>
  <c r="G100" i="21"/>
  <c r="G101" s="1"/>
  <c r="G102" s="1"/>
  <c r="G103" s="1"/>
  <c r="G72" i="1"/>
  <c r="G73" s="1"/>
  <c r="G73" i="21"/>
  <c r="G94"/>
  <c r="G95" s="1"/>
  <c r="G96" s="1"/>
  <c r="H89"/>
  <c r="H90" s="1"/>
  <c r="H91" s="1"/>
  <c r="H100"/>
  <c r="H101" s="1"/>
  <c r="H102" s="1"/>
  <c r="H103" s="1"/>
  <c r="H82" i="19"/>
  <c r="H79" i="1"/>
  <c r="H80" s="1"/>
  <c r="H81" s="1"/>
  <c r="H82" s="1"/>
  <c r="H85"/>
  <c r="H86" s="1"/>
  <c r="H87" s="1"/>
  <c r="G78" i="21"/>
  <c r="G79" s="1"/>
  <c r="G80" s="1"/>
  <c r="G81" s="1"/>
  <c r="G107" i="19"/>
  <c r="G108" s="1"/>
  <c r="H105" i="21"/>
  <c r="H106" s="1"/>
  <c r="H107" s="1"/>
  <c r="H107" i="19"/>
  <c r="H108" s="1"/>
  <c r="G104" i="14"/>
  <c r="R45" i="1"/>
  <c r="H46" i="20"/>
  <c r="R46" i="1" s="1"/>
  <c r="I46" i="20"/>
  <c r="S46" i="1" s="1"/>
  <c r="S45"/>
  <c r="P45"/>
  <c r="B45" i="20"/>
  <c r="F46"/>
  <c r="Q45" i="1"/>
  <c r="G46" i="20"/>
  <c r="Q46" i="1" s="1"/>
  <c r="H98" i="7"/>
  <c r="H76"/>
  <c r="F78" i="14"/>
  <c r="F78" i="16"/>
  <c r="F113" i="14"/>
  <c r="F78" i="1"/>
  <c r="F78" i="19"/>
  <c r="G75" i="7"/>
  <c r="F106"/>
  <c r="F107" s="1"/>
  <c r="F108" s="1"/>
  <c r="F117"/>
  <c r="F90"/>
  <c r="F91" s="1"/>
  <c r="F92" s="1"/>
  <c r="F74"/>
  <c r="F79"/>
  <c r="F80" s="1"/>
  <c r="F81" s="1"/>
  <c r="F82" s="1"/>
  <c r="F101"/>
  <c r="F102" s="1"/>
  <c r="F103" s="1"/>
  <c r="F104" s="1"/>
  <c r="F95"/>
  <c r="F96" s="1"/>
  <c r="F97" s="1"/>
  <c r="F78"/>
  <c r="F89" s="1"/>
  <c r="F87" i="11"/>
  <c r="F117" i="1" l="1"/>
  <c r="F106"/>
  <c r="F107" s="1"/>
  <c r="F108" s="1"/>
  <c r="B120" i="16"/>
  <c r="A120" s="1"/>
  <c r="F95"/>
  <c r="F96" s="1"/>
  <c r="F97" s="1"/>
  <c r="B119" i="21"/>
  <c r="B114" i="16"/>
  <c r="A114" s="1"/>
  <c r="F92" i="1"/>
  <c r="G143" i="22" s="1"/>
  <c r="F87" i="16"/>
  <c r="F90"/>
  <c r="F91" s="1"/>
  <c r="F92" s="1"/>
  <c r="F117"/>
  <c r="F106"/>
  <c r="F107" s="1"/>
  <c r="F108" s="1"/>
  <c r="F74"/>
  <c r="F79"/>
  <c r="F80" s="1"/>
  <c r="F81" s="1"/>
  <c r="F82" s="1"/>
  <c r="F101"/>
  <c r="F102" s="1"/>
  <c r="F103" s="1"/>
  <c r="F104" s="1"/>
  <c r="F100"/>
  <c r="F95" i="1"/>
  <c r="F96" s="1"/>
  <c r="F97" s="1"/>
  <c r="F113" i="19"/>
  <c r="F85" s="1"/>
  <c r="F86" s="1"/>
  <c r="F87" s="1"/>
  <c r="F72" i="1"/>
  <c r="F73" s="1"/>
  <c r="B114" i="14"/>
  <c r="A114" s="1"/>
  <c r="F79" i="1"/>
  <c r="F80" s="1"/>
  <c r="F81" s="1"/>
  <c r="F82" s="1"/>
  <c r="F74"/>
  <c r="F101"/>
  <c r="F102" s="1"/>
  <c r="F103" s="1"/>
  <c r="F104" s="1"/>
  <c r="B120" i="14"/>
  <c r="A120" s="1"/>
  <c r="B114" i="19"/>
  <c r="A114" s="1"/>
  <c r="I78" i="1"/>
  <c r="I94" s="1"/>
  <c r="F111" i="21"/>
  <c r="B120" i="1"/>
  <c r="I78" i="14"/>
  <c r="I72" s="1"/>
  <c r="I73" s="1"/>
  <c r="I75" s="1"/>
  <c r="I107"/>
  <c r="I108" s="1"/>
  <c r="B113" i="16"/>
  <c r="A113" s="1"/>
  <c r="I83" i="21"/>
  <c r="I92" i="14"/>
  <c r="I87"/>
  <c r="I117" i="16"/>
  <c r="I90"/>
  <c r="I91" s="1"/>
  <c r="I92" s="1"/>
  <c r="I95"/>
  <c r="I96" s="1"/>
  <c r="I97" s="1"/>
  <c r="I101"/>
  <c r="I102" s="1"/>
  <c r="I103" s="1"/>
  <c r="I79"/>
  <c r="I80" s="1"/>
  <c r="I81" s="1"/>
  <c r="I82" s="1"/>
  <c r="I106"/>
  <c r="I107" s="1"/>
  <c r="I108" s="1"/>
  <c r="I85"/>
  <c r="I86" s="1"/>
  <c r="I87" s="1"/>
  <c r="I74"/>
  <c r="I94"/>
  <c r="I72"/>
  <c r="I73" s="1"/>
  <c r="I89"/>
  <c r="I100"/>
  <c r="I84"/>
  <c r="I104" i="14"/>
  <c r="I105" i="21"/>
  <c r="I106" s="1"/>
  <c r="I107" s="1"/>
  <c r="I84"/>
  <c r="I85" s="1"/>
  <c r="I86" s="1"/>
  <c r="I94"/>
  <c r="I95" s="1"/>
  <c r="I96" s="1"/>
  <c r="I89"/>
  <c r="I90" s="1"/>
  <c r="I91" s="1"/>
  <c r="I116"/>
  <c r="I100"/>
  <c r="I101" s="1"/>
  <c r="I102" s="1"/>
  <c r="I78"/>
  <c r="I79" s="1"/>
  <c r="I80" s="1"/>
  <c r="I81" s="1"/>
  <c r="I73"/>
  <c r="I93"/>
  <c r="I71"/>
  <c r="I72" s="1"/>
  <c r="I88"/>
  <c r="I99"/>
  <c r="I82" i="14"/>
  <c r="I90" i="1"/>
  <c r="I91" s="1"/>
  <c r="I92" s="1"/>
  <c r="J143" i="22" s="1"/>
  <c r="I117" i="1"/>
  <c r="I101"/>
  <c r="I102" s="1"/>
  <c r="I103" s="1"/>
  <c r="I104" s="1"/>
  <c r="I79"/>
  <c r="I80" s="1"/>
  <c r="I81" s="1"/>
  <c r="I82" s="1"/>
  <c r="I85"/>
  <c r="I86" s="1"/>
  <c r="I87" s="1"/>
  <c r="I95"/>
  <c r="I96" s="1"/>
  <c r="I97" s="1"/>
  <c r="I106"/>
  <c r="I107" s="1"/>
  <c r="I108" s="1"/>
  <c r="I74"/>
  <c r="I104" i="16"/>
  <c r="I103" i="21"/>
  <c r="I90" i="19"/>
  <c r="I91" s="1"/>
  <c r="I92" s="1"/>
  <c r="I95"/>
  <c r="I96" s="1"/>
  <c r="I97" s="1"/>
  <c r="I117"/>
  <c r="I101"/>
  <c r="I102" s="1"/>
  <c r="I103" s="1"/>
  <c r="I104" s="1"/>
  <c r="I79"/>
  <c r="I80" s="1"/>
  <c r="I81" s="1"/>
  <c r="I82" s="1"/>
  <c r="I106"/>
  <c r="I107" s="1"/>
  <c r="I108" s="1"/>
  <c r="I85"/>
  <c r="I86" s="1"/>
  <c r="I87" s="1"/>
  <c r="I74"/>
  <c r="I78"/>
  <c r="I89" s="1"/>
  <c r="B114" i="1"/>
  <c r="A114" s="1"/>
  <c r="H72" i="14"/>
  <c r="H73" s="1"/>
  <c r="H75" s="1"/>
  <c r="H98" s="1"/>
  <c r="E110" i="11"/>
  <c r="E111" s="1"/>
  <c r="E112" s="1"/>
  <c r="E96"/>
  <c r="E97" s="1"/>
  <c r="E123"/>
  <c r="E124" s="1"/>
  <c r="E109"/>
  <c r="E95"/>
  <c r="E102"/>
  <c r="E117"/>
  <c r="E118" s="1"/>
  <c r="E119" s="1"/>
  <c r="E81"/>
  <c r="E88"/>
  <c r="E89" s="1"/>
  <c r="E103"/>
  <c r="E104" s="1"/>
  <c r="E79"/>
  <c r="E80" s="1"/>
  <c r="E116"/>
  <c r="E78" i="7"/>
  <c r="E112"/>
  <c r="E113" s="1"/>
  <c r="H94" i="14"/>
  <c r="H89"/>
  <c r="H100"/>
  <c r="A119" i="21"/>
  <c r="G94" i="19"/>
  <c r="A120" i="1"/>
  <c r="A120" i="19"/>
  <c r="E78" i="1"/>
  <c r="E78" i="14"/>
  <c r="E100" s="1"/>
  <c r="B113" i="21"/>
  <c r="A113" s="1"/>
  <c r="B113" i="14"/>
  <c r="A113" s="1"/>
  <c r="H93" i="21"/>
  <c r="E77"/>
  <c r="E95" i="14"/>
  <c r="E96" s="1"/>
  <c r="E97" s="1"/>
  <c r="E79"/>
  <c r="E80" s="1"/>
  <c r="E81" s="1"/>
  <c r="E82" s="1"/>
  <c r="E101"/>
  <c r="E102" s="1"/>
  <c r="E103" s="1"/>
  <c r="E104" s="1"/>
  <c r="E85"/>
  <c r="E86" s="1"/>
  <c r="E87" s="1"/>
  <c r="E74"/>
  <c r="E106"/>
  <c r="E107" s="1"/>
  <c r="E108" s="1"/>
  <c r="E117"/>
  <c r="E90"/>
  <c r="E91" s="1"/>
  <c r="E92" s="1"/>
  <c r="E112" i="19"/>
  <c r="E113" s="1"/>
  <c r="E111" i="21"/>
  <c r="E112" s="1"/>
  <c r="E117" i="16"/>
  <c r="E106"/>
  <c r="E107" s="1"/>
  <c r="E108" s="1"/>
  <c r="E79"/>
  <c r="E80" s="1"/>
  <c r="E81" s="1"/>
  <c r="E82" s="1"/>
  <c r="E95"/>
  <c r="E96" s="1"/>
  <c r="E97" s="1"/>
  <c r="E90"/>
  <c r="E91" s="1"/>
  <c r="E92" s="1"/>
  <c r="E101"/>
  <c r="E102" s="1"/>
  <c r="E103" s="1"/>
  <c r="E104" s="1"/>
  <c r="E74"/>
  <c r="E85"/>
  <c r="E86" s="1"/>
  <c r="E87" s="1"/>
  <c r="E78"/>
  <c r="E112" i="1"/>
  <c r="E113" s="1"/>
  <c r="E90" s="1"/>
  <c r="E91" s="1"/>
  <c r="E92" s="1"/>
  <c r="F143" i="22" s="1"/>
  <c r="E78" i="19"/>
  <c r="G100"/>
  <c r="H84"/>
  <c r="G75" i="1"/>
  <c r="G94" i="16"/>
  <c r="G84" i="19"/>
  <c r="G89"/>
  <c r="H98" i="16"/>
  <c r="H121" s="1"/>
  <c r="H122" s="1"/>
  <c r="H138" s="1"/>
  <c r="G83" i="21"/>
  <c r="G100" i="16"/>
  <c r="H72" i="19"/>
  <c r="H73" s="1"/>
  <c r="H75" s="1"/>
  <c r="H76" s="1"/>
  <c r="G84" i="16"/>
  <c r="H94" i="19"/>
  <c r="H89"/>
  <c r="G72" i="16"/>
  <c r="G73" s="1"/>
  <c r="G75" s="1"/>
  <c r="G98" s="1"/>
  <c r="H84" i="1"/>
  <c r="H94"/>
  <c r="G93" i="21"/>
  <c r="H89" i="1"/>
  <c r="H100" i="16"/>
  <c r="G71" i="21"/>
  <c r="G72" s="1"/>
  <c r="G74" s="1"/>
  <c r="H94" i="16"/>
  <c r="G88" i="21"/>
  <c r="H72" i="1"/>
  <c r="H73" s="1"/>
  <c r="H75" s="1"/>
  <c r="H76" s="1"/>
  <c r="H89" i="16"/>
  <c r="H84"/>
  <c r="H99" i="21"/>
  <c r="H88"/>
  <c r="G94" i="14"/>
  <c r="H71" i="21"/>
  <c r="H72" s="1"/>
  <c r="H74" s="1"/>
  <c r="G100" i="14"/>
  <c r="G84"/>
  <c r="G89"/>
  <c r="G75"/>
  <c r="G98" s="1"/>
  <c r="L45" i="1"/>
  <c r="A45" i="20"/>
  <c r="K45" i="1" s="1"/>
  <c r="P46"/>
  <c r="B46" i="20"/>
  <c r="F94" i="16"/>
  <c r="H121" i="7"/>
  <c r="F72" i="16"/>
  <c r="F73" s="1"/>
  <c r="F84"/>
  <c r="F89"/>
  <c r="F74" i="14"/>
  <c r="H76"/>
  <c r="F89" i="1"/>
  <c r="F85" i="14"/>
  <c r="F86" s="1"/>
  <c r="F87" s="1"/>
  <c r="F89"/>
  <c r="F90"/>
  <c r="F91" s="1"/>
  <c r="F92" s="1"/>
  <c r="F106"/>
  <c r="F107" s="1"/>
  <c r="F108" s="1"/>
  <c r="F72"/>
  <c r="F73" s="1"/>
  <c r="F94"/>
  <c r="F101"/>
  <c r="F102" s="1"/>
  <c r="F103" s="1"/>
  <c r="F104" s="1"/>
  <c r="F117"/>
  <c r="F84"/>
  <c r="F79"/>
  <c r="F80" s="1"/>
  <c r="F81" s="1"/>
  <c r="F82" s="1"/>
  <c r="F95"/>
  <c r="F96" s="1"/>
  <c r="F97" s="1"/>
  <c r="F100"/>
  <c r="F100" i="1"/>
  <c r="F84"/>
  <c r="F94"/>
  <c r="G98" i="19"/>
  <c r="G76"/>
  <c r="G98" i="7"/>
  <c r="G76"/>
  <c r="F72"/>
  <c r="F73" s="1"/>
  <c r="F75" s="1"/>
  <c r="F100" i="21"/>
  <c r="F101" s="1"/>
  <c r="F102" s="1"/>
  <c r="F103" s="1"/>
  <c r="F89"/>
  <c r="F90" s="1"/>
  <c r="F91" s="1"/>
  <c r="F99"/>
  <c r="F78"/>
  <c r="F79" s="1"/>
  <c r="F80" s="1"/>
  <c r="F81" s="1"/>
  <c r="F116"/>
  <c r="F88"/>
  <c r="F73"/>
  <c r="F71"/>
  <c r="F72" s="1"/>
  <c r="F83"/>
  <c r="F105"/>
  <c r="F106" s="1"/>
  <c r="F107" s="1"/>
  <c r="F94"/>
  <c r="F95" s="1"/>
  <c r="F96" s="1"/>
  <c r="F93"/>
  <c r="F100" i="7"/>
  <c r="F84"/>
  <c r="F94"/>
  <c r="F102" i="11"/>
  <c r="F116"/>
  <c r="F79"/>
  <c r="F80" s="1"/>
  <c r="F82" s="1"/>
  <c r="F109"/>
  <c r="F95"/>
  <c r="F101" i="19" l="1"/>
  <c r="F102" s="1"/>
  <c r="F103" s="1"/>
  <c r="F104" s="1"/>
  <c r="G76" i="16"/>
  <c r="G121" s="1"/>
  <c r="G122" s="1"/>
  <c r="F106" i="19"/>
  <c r="F107" s="1"/>
  <c r="F108" s="1"/>
  <c r="F117"/>
  <c r="F94"/>
  <c r="F72"/>
  <c r="F73" s="1"/>
  <c r="F95"/>
  <c r="F96" s="1"/>
  <c r="F97" s="1"/>
  <c r="F89"/>
  <c r="F79"/>
  <c r="F80" s="1"/>
  <c r="F81" s="1"/>
  <c r="F82" s="1"/>
  <c r="F84"/>
  <c r="F90"/>
  <c r="F91" s="1"/>
  <c r="F92" s="1"/>
  <c r="F74"/>
  <c r="F100"/>
  <c r="F75" i="16"/>
  <c r="F98" s="1"/>
  <c r="B113" i="19"/>
  <c r="A113" s="1"/>
  <c r="I100" i="1"/>
  <c r="I84"/>
  <c r="B117" i="16"/>
  <c r="A117" s="1"/>
  <c r="B104"/>
  <c r="A104" s="1"/>
  <c r="B82"/>
  <c r="A82" s="1"/>
  <c r="F75" i="1"/>
  <c r="F98" s="1"/>
  <c r="G97" i="21"/>
  <c r="G75"/>
  <c r="G76" i="14"/>
  <c r="G98" i="1"/>
  <c r="G76"/>
  <c r="I100" i="14"/>
  <c r="I84"/>
  <c r="I89"/>
  <c r="I94"/>
  <c r="I89" i="1"/>
  <c r="I72"/>
  <c r="I73" s="1"/>
  <c r="I75" s="1"/>
  <c r="I98" s="1"/>
  <c r="I75" i="16"/>
  <c r="I98" s="1"/>
  <c r="I84" i="19"/>
  <c r="I74" i="21"/>
  <c r="B92" i="16"/>
  <c r="A92" s="1"/>
  <c r="B87"/>
  <c r="A87" s="1"/>
  <c r="I76" i="1"/>
  <c r="I76" i="16"/>
  <c r="I98" i="14"/>
  <c r="I76"/>
  <c r="I72" i="19"/>
  <c r="I73" s="1"/>
  <c r="I75" s="1"/>
  <c r="I94"/>
  <c r="B108" i="16"/>
  <c r="A108" s="1"/>
  <c r="I100" i="19"/>
  <c r="E82" i="11"/>
  <c r="E84" i="7"/>
  <c r="E106"/>
  <c r="E107" s="1"/>
  <c r="E108" s="1"/>
  <c r="E100"/>
  <c r="E95"/>
  <c r="E96" s="1"/>
  <c r="E97" s="1"/>
  <c r="E79"/>
  <c r="E80" s="1"/>
  <c r="E81" s="1"/>
  <c r="E82" s="1"/>
  <c r="E89"/>
  <c r="E74"/>
  <c r="E72"/>
  <c r="E73" s="1"/>
  <c r="E90"/>
  <c r="E91" s="1"/>
  <c r="E92" s="1"/>
  <c r="E117"/>
  <c r="E94"/>
  <c r="E101"/>
  <c r="E102" s="1"/>
  <c r="E103" s="1"/>
  <c r="E104" s="1"/>
  <c r="B113"/>
  <c r="A113" s="1"/>
  <c r="E72" i="19"/>
  <c r="E73" s="1"/>
  <c r="B104" i="14"/>
  <c r="A104" s="1"/>
  <c r="E83" i="21"/>
  <c r="B108" i="14"/>
  <c r="A108" s="1"/>
  <c r="B117"/>
  <c r="A117" s="1"/>
  <c r="E89"/>
  <c r="B87"/>
  <c r="A87" s="1"/>
  <c r="E84"/>
  <c r="E94"/>
  <c r="B82"/>
  <c r="A82" s="1"/>
  <c r="E72"/>
  <c r="E73" s="1"/>
  <c r="E75" s="1"/>
  <c r="B112" i="21"/>
  <c r="A112" s="1"/>
  <c r="B92" i="14"/>
  <c r="A92" s="1"/>
  <c r="E117" i="1"/>
  <c r="E94"/>
  <c r="E101"/>
  <c r="E102" s="1"/>
  <c r="E103" s="1"/>
  <c r="E104" s="1"/>
  <c r="E95"/>
  <c r="E96" s="1"/>
  <c r="E97" s="1"/>
  <c r="E72"/>
  <c r="E73" s="1"/>
  <c r="E89"/>
  <c r="E84"/>
  <c r="E74"/>
  <c r="E79"/>
  <c r="E80" s="1"/>
  <c r="E81" s="1"/>
  <c r="E82" s="1"/>
  <c r="E106"/>
  <c r="E107" s="1"/>
  <c r="E108" s="1"/>
  <c r="E100"/>
  <c r="E100" i="21"/>
  <c r="E101" s="1"/>
  <c r="E102" s="1"/>
  <c r="E103" s="1"/>
  <c r="B103" s="1"/>
  <c r="A103" s="1"/>
  <c r="E94"/>
  <c r="E95" s="1"/>
  <c r="E96" s="1"/>
  <c r="E105"/>
  <c r="E106" s="1"/>
  <c r="E107" s="1"/>
  <c r="B107" s="1"/>
  <c r="A107" s="1"/>
  <c r="E73"/>
  <c r="E78"/>
  <c r="E79" s="1"/>
  <c r="E80" s="1"/>
  <c r="E81" s="1"/>
  <c r="B81" s="1"/>
  <c r="A81" s="1"/>
  <c r="E116"/>
  <c r="B116" s="1"/>
  <c r="A116" s="1"/>
  <c r="E89"/>
  <c r="E90" s="1"/>
  <c r="E91" s="1"/>
  <c r="B91" s="1"/>
  <c r="A91" s="1"/>
  <c r="E71"/>
  <c r="E72" s="1"/>
  <c r="E88"/>
  <c r="E93"/>
  <c r="E99"/>
  <c r="E72" i="16"/>
  <c r="E73" s="1"/>
  <c r="E75" s="1"/>
  <c r="E100"/>
  <c r="E89"/>
  <c r="E94"/>
  <c r="E84"/>
  <c r="E106" i="19"/>
  <c r="E107" s="1"/>
  <c r="E108" s="1"/>
  <c r="E117"/>
  <c r="E90"/>
  <c r="E91" s="1"/>
  <c r="E92" s="1"/>
  <c r="E101"/>
  <c r="E102" s="1"/>
  <c r="E103" s="1"/>
  <c r="E104" s="1"/>
  <c r="B104" s="1"/>
  <c r="A104" s="1"/>
  <c r="E74"/>
  <c r="E85"/>
  <c r="E86" s="1"/>
  <c r="E87" s="1"/>
  <c r="B87" s="1"/>
  <c r="A87" s="1"/>
  <c r="E95"/>
  <c r="E96" s="1"/>
  <c r="E97" s="1"/>
  <c r="E79"/>
  <c r="E80" s="1"/>
  <c r="E81" s="1"/>
  <c r="E82" s="1"/>
  <c r="B82" s="1"/>
  <c r="A82" s="1"/>
  <c r="E84"/>
  <c r="E89"/>
  <c r="E94"/>
  <c r="E100"/>
  <c r="H98" i="1"/>
  <c r="H121" s="1"/>
  <c r="H98" i="19"/>
  <c r="H121" s="1"/>
  <c r="H122" s="1"/>
  <c r="H128" s="1"/>
  <c r="H129" s="1"/>
  <c r="H130" s="1"/>
  <c r="H131" s="1"/>
  <c r="H132" s="1"/>
  <c r="H75" i="21"/>
  <c r="H97"/>
  <c r="G121" i="14"/>
  <c r="G122" s="1"/>
  <c r="G128" s="1"/>
  <c r="G129" s="1"/>
  <c r="G130" s="1"/>
  <c r="G131" s="1"/>
  <c r="G132" s="1"/>
  <c r="H128" i="16"/>
  <c r="H129" s="1"/>
  <c r="H134" s="1"/>
  <c r="H135" s="1"/>
  <c r="H136" s="1"/>
  <c r="L46" i="1"/>
  <c r="B51" i="20"/>
  <c r="F75" i="14"/>
  <c r="F98" s="1"/>
  <c r="H121"/>
  <c r="H122" s="1"/>
  <c r="F76" i="16"/>
  <c r="F98" i="7"/>
  <c r="F76"/>
  <c r="G121" i="19"/>
  <c r="G122" s="1"/>
  <c r="G128" s="1"/>
  <c r="F75"/>
  <c r="F74" i="21"/>
  <c r="B117" i="19" l="1"/>
  <c r="A117" s="1"/>
  <c r="B108"/>
  <c r="A108" s="1"/>
  <c r="F76" i="1"/>
  <c r="B92" i="19"/>
  <c r="A92" s="1"/>
  <c r="I121" i="1"/>
  <c r="I121" i="14"/>
  <c r="I122" s="1"/>
  <c r="I128" s="1"/>
  <c r="I129" s="1"/>
  <c r="I121" i="16"/>
  <c r="I122" s="1"/>
  <c r="I138" s="1"/>
  <c r="I97" i="21"/>
  <c r="I75"/>
  <c r="I98" i="19"/>
  <c r="I76"/>
  <c r="E75" i="7"/>
  <c r="E75" i="19"/>
  <c r="E76" s="1"/>
  <c r="E74" i="21"/>
  <c r="E97" s="1"/>
  <c r="E76" i="14"/>
  <c r="E98"/>
  <c r="B98" s="1"/>
  <c r="A98" s="1"/>
  <c r="E75" i="1"/>
  <c r="E98" i="16"/>
  <c r="B98" s="1"/>
  <c r="A98" s="1"/>
  <c r="E76"/>
  <c r="H138" i="19"/>
  <c r="H120" i="21"/>
  <c r="H121" s="1"/>
  <c r="H170" s="1"/>
  <c r="AB8" i="1" s="1"/>
  <c r="G138" i="14"/>
  <c r="L51" i="1"/>
  <c r="B52" i="20"/>
  <c r="G134" i="14"/>
  <c r="G135" s="1"/>
  <c r="G136" s="1"/>
  <c r="H130" i="16"/>
  <c r="H131" s="1"/>
  <c r="H132" s="1"/>
  <c r="H134" i="19"/>
  <c r="H135" s="1"/>
  <c r="H136" s="1"/>
  <c r="F76" i="14"/>
  <c r="F121" s="1"/>
  <c r="F122" s="1"/>
  <c r="G129" i="19"/>
  <c r="G130" s="1"/>
  <c r="G131" s="1"/>
  <c r="G132" s="1"/>
  <c r="H128" i="14"/>
  <c r="H138"/>
  <c r="F121" i="16"/>
  <c r="F122" s="1"/>
  <c r="F98" i="19"/>
  <c r="F76"/>
  <c r="F97" i="21"/>
  <c r="F75"/>
  <c r="G138" i="19"/>
  <c r="G138" i="16"/>
  <c r="G128"/>
  <c r="I120" i="21" l="1"/>
  <c r="I121" s="1"/>
  <c r="I137" s="1"/>
  <c r="I128" i="16"/>
  <c r="I129" s="1"/>
  <c r="I130" s="1"/>
  <c r="I131" s="1"/>
  <c r="I132" s="1"/>
  <c r="I138" i="14"/>
  <c r="I121" i="19"/>
  <c r="I122" s="1"/>
  <c r="I134" i="14"/>
  <c r="I135" s="1"/>
  <c r="I136" s="1"/>
  <c r="I130"/>
  <c r="I131" s="1"/>
  <c r="I132" s="1"/>
  <c r="E98" i="7"/>
  <c r="E76"/>
  <c r="E98" i="19"/>
  <c r="B98" s="1"/>
  <c r="A98" s="1"/>
  <c r="E75" i="21"/>
  <c r="B75" s="1"/>
  <c r="A75" s="1"/>
  <c r="B76" i="19"/>
  <c r="A76" s="1"/>
  <c r="B97" i="21"/>
  <c r="A97" s="1"/>
  <c r="E121" i="14"/>
  <c r="E122" s="1"/>
  <c r="E98" i="1"/>
  <c r="E76"/>
  <c r="E121" i="16"/>
  <c r="E122" s="1"/>
  <c r="B122" s="1"/>
  <c r="E121" i="19"/>
  <c r="E122" s="1"/>
  <c r="E138" s="1"/>
  <c r="B76" i="16"/>
  <c r="A76" s="1"/>
  <c r="H171" i="21"/>
  <c r="H137"/>
  <c r="H127"/>
  <c r="H128" s="1"/>
  <c r="H74" i="20"/>
  <c r="H76" s="1"/>
  <c r="D78" s="1"/>
  <c r="D79" s="1"/>
  <c r="D80" s="1"/>
  <c r="D81" s="1"/>
  <c r="D82" s="1"/>
  <c r="L52" i="1"/>
  <c r="B76" i="14"/>
  <c r="A76" s="1"/>
  <c r="G134" i="19"/>
  <c r="G135" s="1"/>
  <c r="G136" s="1"/>
  <c r="H129" i="14"/>
  <c r="H134" s="1"/>
  <c r="H135" s="1"/>
  <c r="H136" s="1"/>
  <c r="G129" i="16"/>
  <c r="G130" s="1"/>
  <c r="G131" s="1"/>
  <c r="G132" s="1"/>
  <c r="F138"/>
  <c r="F128"/>
  <c r="F129" s="1"/>
  <c r="F134" s="1"/>
  <c r="F135" s="1"/>
  <c r="F136" s="1"/>
  <c r="F138" i="14"/>
  <c r="F128"/>
  <c r="F129" s="1"/>
  <c r="F121" i="19"/>
  <c r="F122" s="1"/>
  <c r="E225" i="6"/>
  <c r="E220" i="8"/>
  <c r="E221" s="1"/>
  <c r="E156" i="7" s="1"/>
  <c r="B117"/>
  <c r="A117" s="1"/>
  <c r="AB9" i="1" l="1"/>
  <c r="H199" i="21"/>
  <c r="I170"/>
  <c r="I127"/>
  <c r="I128" s="1"/>
  <c r="I129" s="1"/>
  <c r="I130" s="1"/>
  <c r="I213" s="1"/>
  <c r="I134" i="16"/>
  <c r="I135" s="1"/>
  <c r="I136" s="1"/>
  <c r="I138" i="19"/>
  <c r="I128"/>
  <c r="I129" s="1"/>
  <c r="B121" i="14"/>
  <c r="E138" i="16"/>
  <c r="E128"/>
  <c r="B128" s="1"/>
  <c r="A128" s="1"/>
  <c r="B121"/>
  <c r="E128" i="19"/>
  <c r="E129" s="1"/>
  <c r="E128" i="14"/>
  <c r="E129" s="1"/>
  <c r="E138"/>
  <c r="B122"/>
  <c r="B122" i="19"/>
  <c r="H172" i="21"/>
  <c r="AB10" i="1" s="1"/>
  <c r="H129" i="21"/>
  <c r="H130" s="1"/>
  <c r="H213" s="1"/>
  <c r="H133"/>
  <c r="H134" s="1"/>
  <c r="H135" s="1"/>
  <c r="B56" i="20"/>
  <c r="B58"/>
  <c r="C238" i="6" s="1"/>
  <c r="H130" i="14"/>
  <c r="H131" s="1"/>
  <c r="H132" s="1"/>
  <c r="G134" i="16"/>
  <c r="G135" s="1"/>
  <c r="G136" s="1"/>
  <c r="F138" i="19"/>
  <c r="F128"/>
  <c r="F129" s="1"/>
  <c r="F130" s="1"/>
  <c r="F131" s="1"/>
  <c r="F132" s="1"/>
  <c r="B121"/>
  <c r="F130" i="16"/>
  <c r="F131" s="1"/>
  <c r="F132" s="1"/>
  <c r="F134" i="14"/>
  <c r="F135" s="1"/>
  <c r="F136" s="1"/>
  <c r="F130"/>
  <c r="F131" s="1"/>
  <c r="F132" s="1"/>
  <c r="E156" i="19"/>
  <c r="E155" i="21"/>
  <c r="E156" i="14"/>
  <c r="E156" i="16"/>
  <c r="E156" i="1"/>
  <c r="H131" i="21" l="1"/>
  <c r="AC8" i="1"/>
  <c r="I171" i="21"/>
  <c r="I133"/>
  <c r="I134" s="1"/>
  <c r="I135" s="1"/>
  <c r="I134" i="19"/>
  <c r="I135" s="1"/>
  <c r="I136" s="1"/>
  <c r="I130"/>
  <c r="I131" s="1"/>
  <c r="I132" s="1"/>
  <c r="E129" i="16"/>
  <c r="E134" s="1"/>
  <c r="E135" s="1"/>
  <c r="E136" s="1"/>
  <c r="C137" s="1"/>
  <c r="B128" i="14"/>
  <c r="A128" s="1"/>
  <c r="E130"/>
  <c r="E131" s="1"/>
  <c r="E132" s="1"/>
  <c r="B132" s="1"/>
  <c r="H133" s="1"/>
  <c r="E134"/>
  <c r="E135" s="1"/>
  <c r="E136" s="1"/>
  <c r="C137" s="1"/>
  <c r="L56" i="1"/>
  <c r="B238" i="6"/>
  <c r="B162" i="22" s="1"/>
  <c r="F134" i="19"/>
  <c r="F135" s="1"/>
  <c r="F136" s="1"/>
  <c r="B128"/>
  <c r="A128" s="1"/>
  <c r="E134"/>
  <c r="E135" s="1"/>
  <c r="E136" s="1"/>
  <c r="E130"/>
  <c r="E131" s="1"/>
  <c r="I122" i="1"/>
  <c r="H122"/>
  <c r="AC9" l="1"/>
  <c r="I172" i="21"/>
  <c r="AC10" i="1" s="1"/>
  <c r="E130" i="16"/>
  <c r="E131" s="1"/>
  <c r="E132" s="1"/>
  <c r="B132" s="1"/>
  <c r="B131" i="14"/>
  <c r="A137"/>
  <c r="C138"/>
  <c r="C139" s="1"/>
  <c r="C140" s="1"/>
  <c r="C141" s="1"/>
  <c r="B141" s="1"/>
  <c r="J149" i="22"/>
  <c r="J136"/>
  <c r="J137" s="1"/>
  <c r="J138" s="1"/>
  <c r="J140" s="1"/>
  <c r="I149"/>
  <c r="I136"/>
  <c r="I137" s="1"/>
  <c r="I138" s="1"/>
  <c r="I140" s="1"/>
  <c r="G133" i="14"/>
  <c r="C137" i="19"/>
  <c r="A137" s="1"/>
  <c r="E133" i="14"/>
  <c r="I133"/>
  <c r="D133"/>
  <c r="F133"/>
  <c r="C133"/>
  <c r="B131" i="19"/>
  <c r="E132"/>
  <c r="B132" s="1"/>
  <c r="A137" i="16"/>
  <c r="C138"/>
  <c r="C139" s="1"/>
  <c r="C140" s="1"/>
  <c r="C141" s="1"/>
  <c r="H128" i="1"/>
  <c r="H138"/>
  <c r="I128"/>
  <c r="I138"/>
  <c r="B131" i="16" l="1"/>
  <c r="C142" i="14"/>
  <c r="C143" s="1"/>
  <c r="C144" s="1"/>
  <c r="C146" s="1"/>
  <c r="C145" s="1"/>
  <c r="I129" i="1"/>
  <c r="I134" s="1"/>
  <c r="I135" s="1"/>
  <c r="I136" s="1"/>
  <c r="H129"/>
  <c r="H134" s="1"/>
  <c r="H135" s="1"/>
  <c r="H136" s="1"/>
  <c r="C138" i="19"/>
  <c r="C139" s="1"/>
  <c r="C140" s="1"/>
  <c r="C141" s="1"/>
  <c r="B141" s="1"/>
  <c r="B133" i="14"/>
  <c r="D146"/>
  <c r="D145"/>
  <c r="C142" i="16"/>
  <c r="C143" s="1"/>
  <c r="C144" s="1"/>
  <c r="B141"/>
  <c r="I133"/>
  <c r="C133"/>
  <c r="H133"/>
  <c r="G133"/>
  <c r="F133"/>
  <c r="E133"/>
  <c r="D133"/>
  <c r="E133" i="19"/>
  <c r="I133"/>
  <c r="C133"/>
  <c r="G133"/>
  <c r="D133"/>
  <c r="F133"/>
  <c r="H133"/>
  <c r="H130" i="1" l="1"/>
  <c r="H131" s="1"/>
  <c r="H132" s="1"/>
  <c r="I130"/>
  <c r="I131" s="1"/>
  <c r="C142" i="19"/>
  <c r="C143" s="1"/>
  <c r="C144" s="1"/>
  <c r="C146" s="1"/>
  <c r="B146" i="14"/>
  <c r="I147" s="1"/>
  <c r="C146" i="16"/>
  <c r="B145" i="14"/>
  <c r="A145" s="1"/>
  <c r="B133" i="16"/>
  <c r="D146"/>
  <c r="D145" s="1"/>
  <c r="B133" i="19"/>
  <c r="D146"/>
  <c r="D145" s="1"/>
  <c r="D147" i="14" l="1"/>
  <c r="E147"/>
  <c r="H147"/>
  <c r="F147"/>
  <c r="G147"/>
  <c r="C147"/>
  <c r="C145" i="16"/>
  <c r="B145" s="1"/>
  <c r="A145" s="1"/>
  <c r="C145" i="19"/>
  <c r="B145" s="1"/>
  <c r="A145" s="1"/>
  <c r="B146" i="16"/>
  <c r="B146" i="19"/>
  <c r="I147" s="1"/>
  <c r="C148" i="14" l="1"/>
  <c r="C172" s="1"/>
  <c r="C174" s="1"/>
  <c r="C176" s="1"/>
  <c r="B147"/>
  <c r="G148" s="1"/>
  <c r="D148"/>
  <c r="D149" s="1"/>
  <c r="C147" i="16"/>
  <c r="H147"/>
  <c r="G147"/>
  <c r="F147"/>
  <c r="I147"/>
  <c r="E147"/>
  <c r="D147"/>
  <c r="H147" i="19"/>
  <c r="G147"/>
  <c r="F147"/>
  <c r="E147"/>
  <c r="D147"/>
  <c r="C147"/>
  <c r="G149" i="14" l="1"/>
  <c r="G155" s="1"/>
  <c r="G172"/>
  <c r="G171"/>
  <c r="G174" s="1"/>
  <c r="D171"/>
  <c r="D174" s="1"/>
  <c r="D176" s="1"/>
  <c r="D172"/>
  <c r="F148"/>
  <c r="F149" s="1"/>
  <c r="F157" s="1"/>
  <c r="F158" s="1"/>
  <c r="F170" s="1"/>
  <c r="H148"/>
  <c r="E148"/>
  <c r="E171" s="1"/>
  <c r="E174" s="1"/>
  <c r="E178" s="1"/>
  <c r="E181" s="1"/>
  <c r="E182" s="1"/>
  <c r="I148"/>
  <c r="C178"/>
  <c r="C181" s="1"/>
  <c r="C182" s="1"/>
  <c r="C149"/>
  <c r="C157" s="1"/>
  <c r="C158" s="1"/>
  <c r="C170" s="1"/>
  <c r="C171"/>
  <c r="D155"/>
  <c r="D157"/>
  <c r="D158" s="1"/>
  <c r="D170" s="1"/>
  <c r="B147" i="16"/>
  <c r="E148" s="1"/>
  <c r="E149" s="1"/>
  <c r="D148"/>
  <c r="D171" s="1"/>
  <c r="D174" s="1"/>
  <c r="D178" s="1"/>
  <c r="D181" s="1"/>
  <c r="D182" s="1"/>
  <c r="D148" i="19"/>
  <c r="C148" i="16"/>
  <c r="C172" s="1"/>
  <c r="C174" s="1"/>
  <c r="C148" i="19"/>
  <c r="C171" s="1"/>
  <c r="B147"/>
  <c r="E148" s="1"/>
  <c r="E149" s="1"/>
  <c r="G157" i="14" l="1"/>
  <c r="G158" s="1"/>
  <c r="G170" s="1"/>
  <c r="G173" s="1"/>
  <c r="G177" s="1"/>
  <c r="G180" s="1"/>
  <c r="G183" s="1"/>
  <c r="I149"/>
  <c r="I157" s="1"/>
  <c r="I158" s="1"/>
  <c r="I170" s="1"/>
  <c r="I172"/>
  <c r="I171"/>
  <c r="I174" s="1"/>
  <c r="H149"/>
  <c r="H157" s="1"/>
  <c r="H158" s="1"/>
  <c r="H170" s="1"/>
  <c r="H172"/>
  <c r="H171"/>
  <c r="H174" s="1"/>
  <c r="G178"/>
  <c r="G181" s="1"/>
  <c r="G182" s="1"/>
  <c r="G176"/>
  <c r="F171"/>
  <c r="F174" s="1"/>
  <c r="F178" s="1"/>
  <c r="F181" s="1"/>
  <c r="F182" s="1"/>
  <c r="F172"/>
  <c r="D178"/>
  <c r="D181" s="1"/>
  <c r="D182" s="1"/>
  <c r="E172"/>
  <c r="D173"/>
  <c r="D177" s="1"/>
  <c r="D180" s="1"/>
  <c r="D183" s="1"/>
  <c r="E176"/>
  <c r="E149"/>
  <c r="E157" s="1"/>
  <c r="E158" s="1"/>
  <c r="E170" s="1"/>
  <c r="E173" s="1"/>
  <c r="B148"/>
  <c r="C152"/>
  <c r="C154" s="1"/>
  <c r="C155"/>
  <c r="C160" s="1"/>
  <c r="C161" s="1"/>
  <c r="D160"/>
  <c r="D161" s="1"/>
  <c r="D152"/>
  <c r="D154" s="1"/>
  <c r="F152"/>
  <c r="F154" s="1"/>
  <c r="F155"/>
  <c r="F160" s="1"/>
  <c r="F161" s="1"/>
  <c r="E171" i="16"/>
  <c r="E174" s="1"/>
  <c r="E178" s="1"/>
  <c r="E181" s="1"/>
  <c r="E182" s="1"/>
  <c r="D149" i="19"/>
  <c r="D157" s="1"/>
  <c r="D158" s="1"/>
  <c r="D171"/>
  <c r="D174" s="1"/>
  <c r="D172"/>
  <c r="D149" i="16"/>
  <c r="D157" s="1"/>
  <c r="D158" s="1"/>
  <c r="D170" s="1"/>
  <c r="D173" s="1"/>
  <c r="D177" s="1"/>
  <c r="D180" s="1"/>
  <c r="D183" s="1"/>
  <c r="D172"/>
  <c r="E172"/>
  <c r="G148"/>
  <c r="H148"/>
  <c r="C149" i="19"/>
  <c r="F148" i="16"/>
  <c r="I148" i="19"/>
  <c r="I148" i="16"/>
  <c r="C149"/>
  <c r="C155" s="1"/>
  <c r="C172" i="19"/>
  <c r="C174" s="1"/>
  <c r="C178" s="1"/>
  <c r="C181" s="1"/>
  <c r="C182" s="1"/>
  <c r="E171"/>
  <c r="E174" s="1"/>
  <c r="E178" s="1"/>
  <c r="E181" s="1"/>
  <c r="E182" s="1"/>
  <c r="C171" i="16"/>
  <c r="E172" i="19"/>
  <c r="D176" i="16"/>
  <c r="G148" i="19"/>
  <c r="F148"/>
  <c r="H148"/>
  <c r="C176" i="16"/>
  <c r="C178"/>
  <c r="C181" s="1"/>
  <c r="C182" s="1"/>
  <c r="C173" i="14"/>
  <c r="E164" i="16"/>
  <c r="E155"/>
  <c r="E157"/>
  <c r="E158" s="1"/>
  <c r="E155" i="19"/>
  <c r="E157"/>
  <c r="E158" s="1"/>
  <c r="I173" i="14" l="1"/>
  <c r="I175" s="1"/>
  <c r="I152"/>
  <c r="I154" s="1"/>
  <c r="G175"/>
  <c r="G152"/>
  <c r="G154" s="1"/>
  <c r="F176"/>
  <c r="B171"/>
  <c r="I176"/>
  <c r="I178"/>
  <c r="I181" s="1"/>
  <c r="I182" s="1"/>
  <c r="I149" i="16"/>
  <c r="I155" s="1"/>
  <c r="I172"/>
  <c r="I171"/>
  <c r="I174" s="1"/>
  <c r="G160" i="14"/>
  <c r="G161" s="1"/>
  <c r="H152"/>
  <c r="H154" s="1"/>
  <c r="I149" i="19"/>
  <c r="I157" s="1"/>
  <c r="I158" s="1"/>
  <c r="I172"/>
  <c r="I171"/>
  <c r="I174" s="1"/>
  <c r="I155" i="14"/>
  <c r="I160" s="1"/>
  <c r="I161" s="1"/>
  <c r="H149" i="19"/>
  <c r="H155" s="1"/>
  <c r="H172"/>
  <c r="H171"/>
  <c r="H174" s="1"/>
  <c r="F173" i="14"/>
  <c r="F177" s="1"/>
  <c r="F180" s="1"/>
  <c r="F183" s="1"/>
  <c r="H155"/>
  <c r="H160" s="1"/>
  <c r="H161" s="1"/>
  <c r="H149" i="16"/>
  <c r="H155" s="1"/>
  <c r="H172"/>
  <c r="H171"/>
  <c r="H174" s="1"/>
  <c r="H176" i="14"/>
  <c r="H178"/>
  <c r="H181" s="1"/>
  <c r="H182" s="1"/>
  <c r="H173"/>
  <c r="G149" i="16"/>
  <c r="G164" s="1"/>
  <c r="G172"/>
  <c r="G171"/>
  <c r="G174" s="1"/>
  <c r="G149" i="19"/>
  <c r="G155" s="1"/>
  <c r="G172"/>
  <c r="G171"/>
  <c r="G174" s="1"/>
  <c r="D175" i="14"/>
  <c r="E155"/>
  <c r="B149"/>
  <c r="D151" s="1"/>
  <c r="D155" i="16"/>
  <c r="D160" s="1"/>
  <c r="D161" s="1"/>
  <c r="E176"/>
  <c r="F149" i="19"/>
  <c r="F157" s="1"/>
  <c r="F158" s="1"/>
  <c r="F172"/>
  <c r="F171"/>
  <c r="F174" s="1"/>
  <c r="F149" i="16"/>
  <c r="F157" s="1"/>
  <c r="F158" s="1"/>
  <c r="F170" s="1"/>
  <c r="F172"/>
  <c r="F171"/>
  <c r="F174" s="1"/>
  <c r="D164"/>
  <c r="D155" i="19"/>
  <c r="D170" s="1"/>
  <c r="D173" s="1"/>
  <c r="D177" s="1"/>
  <c r="D180" s="1"/>
  <c r="D183" s="1"/>
  <c r="D176"/>
  <c r="D178"/>
  <c r="D181" s="1"/>
  <c r="D182" s="1"/>
  <c r="C157"/>
  <c r="C158" s="1"/>
  <c r="E152" i="14"/>
  <c r="E154" s="1"/>
  <c r="D175" i="16"/>
  <c r="C155" i="19"/>
  <c r="C157" i="16"/>
  <c r="C158" s="1"/>
  <c r="C170" s="1"/>
  <c r="B148"/>
  <c r="C164"/>
  <c r="E176" i="19"/>
  <c r="C176"/>
  <c r="B158" i="14"/>
  <c r="A158" s="1"/>
  <c r="D152" i="16"/>
  <c r="D154" s="1"/>
  <c r="E160" i="19"/>
  <c r="E161" s="1"/>
  <c r="E152"/>
  <c r="E154" s="1"/>
  <c r="B148"/>
  <c r="E152" i="16"/>
  <c r="E154" s="1"/>
  <c r="E177" i="14"/>
  <c r="E180" s="1"/>
  <c r="E183" s="1"/>
  <c r="E175"/>
  <c r="E170" i="19"/>
  <c r="E173" s="1"/>
  <c r="D152"/>
  <c r="D154" s="1"/>
  <c r="B170" i="14"/>
  <c r="E160" i="16"/>
  <c r="E161" s="1"/>
  <c r="E170"/>
  <c r="E173" s="1"/>
  <c r="C175" i="14"/>
  <c r="C177"/>
  <c r="C180" s="1"/>
  <c r="I152" i="19" l="1"/>
  <c r="I154" s="1"/>
  <c r="H157"/>
  <c r="H158" s="1"/>
  <c r="H170" s="1"/>
  <c r="H173" s="1"/>
  <c r="H177" s="1"/>
  <c r="H180" s="1"/>
  <c r="H183" s="1"/>
  <c r="H164" i="16"/>
  <c r="I164"/>
  <c r="F175" i="14"/>
  <c r="I177"/>
  <c r="I180" s="1"/>
  <c r="I183" s="1"/>
  <c r="G157" i="19"/>
  <c r="G158" s="1"/>
  <c r="G170" s="1"/>
  <c r="G173" s="1"/>
  <c r="I157" i="16"/>
  <c r="I158" s="1"/>
  <c r="I170" s="1"/>
  <c r="I173" s="1"/>
  <c r="I175" s="1"/>
  <c r="G155"/>
  <c r="B155" i="14"/>
  <c r="A155" s="1"/>
  <c r="I178" i="19"/>
  <c r="I181" s="1"/>
  <c r="I182" s="1"/>
  <c r="I176"/>
  <c r="I155"/>
  <c r="I160" s="1"/>
  <c r="I161" s="1"/>
  <c r="I176" i="16"/>
  <c r="I178"/>
  <c r="I181" s="1"/>
  <c r="I182" s="1"/>
  <c r="H157"/>
  <c r="H158" s="1"/>
  <c r="H170" s="1"/>
  <c r="H173" s="1"/>
  <c r="H176"/>
  <c r="H178"/>
  <c r="H181" s="1"/>
  <c r="H182" s="1"/>
  <c r="H175" i="14"/>
  <c r="H177"/>
  <c r="H180" s="1"/>
  <c r="H183" s="1"/>
  <c r="H176" i="19"/>
  <c r="H178"/>
  <c r="H181" s="1"/>
  <c r="H182" s="1"/>
  <c r="G157" i="16"/>
  <c r="G158" s="1"/>
  <c r="G170" s="1"/>
  <c r="G173" s="1"/>
  <c r="G177" s="1"/>
  <c r="G180" s="1"/>
  <c r="G183" s="1"/>
  <c r="G176"/>
  <c r="G178"/>
  <c r="G181" s="1"/>
  <c r="G182" s="1"/>
  <c r="G176" i="19"/>
  <c r="G178"/>
  <c r="G181" s="1"/>
  <c r="G182" s="1"/>
  <c r="E160" i="14"/>
  <c r="E161" s="1"/>
  <c r="B161" s="1"/>
  <c r="G59" i="11" s="1"/>
  <c r="C151" i="14"/>
  <c r="B151" s="1"/>
  <c r="A151" s="1"/>
  <c r="B149" i="19"/>
  <c r="G51" i="17" s="1"/>
  <c r="AK51" i="1" s="1"/>
  <c r="F155" i="19"/>
  <c r="F170" s="1"/>
  <c r="F173" s="1"/>
  <c r="F155" i="16"/>
  <c r="F160" s="1"/>
  <c r="F161" s="1"/>
  <c r="F164"/>
  <c r="F152"/>
  <c r="F154" s="1"/>
  <c r="D160" i="19"/>
  <c r="D161" s="1"/>
  <c r="B149" i="16"/>
  <c r="D151" s="1"/>
  <c r="B171" i="19"/>
  <c r="B171" i="16"/>
  <c r="F178"/>
  <c r="F181" s="1"/>
  <c r="F182" s="1"/>
  <c r="F176"/>
  <c r="F178" i="19"/>
  <c r="F181" s="1"/>
  <c r="F182" s="1"/>
  <c r="F176"/>
  <c r="F173" i="16"/>
  <c r="C160" i="19"/>
  <c r="C161" s="1"/>
  <c r="C170"/>
  <c r="C173" s="1"/>
  <c r="C152"/>
  <c r="C154" s="1"/>
  <c r="C160" i="16"/>
  <c r="C161" s="1"/>
  <c r="C152"/>
  <c r="C154" s="1"/>
  <c r="D175" i="19"/>
  <c r="F152"/>
  <c r="F154" s="1"/>
  <c r="G160"/>
  <c r="G161" s="1"/>
  <c r="E177" i="16"/>
  <c r="E180" s="1"/>
  <c r="E183" s="1"/>
  <c r="E175"/>
  <c r="C173"/>
  <c r="C183" i="14"/>
  <c r="E175" i="19"/>
  <c r="E177"/>
  <c r="E180" s="1"/>
  <c r="E183" s="1"/>
  <c r="I122" i="7"/>
  <c r="H122"/>
  <c r="B108"/>
  <c r="A108" s="1"/>
  <c r="G152" i="19" l="1"/>
  <c r="G154" s="1"/>
  <c r="C51" i="17"/>
  <c r="AG51" i="1" s="1"/>
  <c r="G152" i="16"/>
  <c r="G154" s="1"/>
  <c r="H152" i="19"/>
  <c r="H154" s="1"/>
  <c r="B158"/>
  <c r="A158" s="1"/>
  <c r="H160"/>
  <c r="H161" s="1"/>
  <c r="I177" i="16"/>
  <c r="I180" s="1"/>
  <c r="I183" s="1"/>
  <c r="B183" i="14"/>
  <c r="B175"/>
  <c r="H160" i="16"/>
  <c r="H161" s="1"/>
  <c r="I160"/>
  <c r="I161" s="1"/>
  <c r="I152"/>
  <c r="I154" s="1"/>
  <c r="I170" i="19"/>
  <c r="I173" s="1"/>
  <c r="I175" s="1"/>
  <c r="H152" i="16"/>
  <c r="H154" s="1"/>
  <c r="B180" i="14"/>
  <c r="G175" i="16"/>
  <c r="B158"/>
  <c r="A158" s="1"/>
  <c r="G160"/>
  <c r="G161" s="1"/>
  <c r="B160" i="14"/>
  <c r="C32" i="17"/>
  <c r="AG32" i="1" s="1"/>
  <c r="G34" i="17"/>
  <c r="AK34" i="1" s="1"/>
  <c r="E32" i="17"/>
  <c r="AI32" i="1" s="1"/>
  <c r="D41" i="17"/>
  <c r="AH41" i="1" s="1"/>
  <c r="E33" i="17"/>
  <c r="AI33" i="1" s="1"/>
  <c r="F32" i="17"/>
  <c r="AJ32" i="1" s="1"/>
  <c r="G33" i="17"/>
  <c r="AK33" i="1" s="1"/>
  <c r="C33" i="17"/>
  <c r="AG33" i="1" s="1"/>
  <c r="F34" i="17"/>
  <c r="AJ34" i="1" s="1"/>
  <c r="E41" i="17"/>
  <c r="AI41" i="1" s="1"/>
  <c r="F41" i="17"/>
  <c r="AJ41" i="1" s="1"/>
  <c r="D32" i="17"/>
  <c r="AH32" i="1" s="1"/>
  <c r="G41" i="17"/>
  <c r="AK41" i="1" s="1"/>
  <c r="G32" i="17"/>
  <c r="AK32" i="1" s="1"/>
  <c r="E40" i="17"/>
  <c r="AI40" i="1" s="1"/>
  <c r="D33" i="17"/>
  <c r="AH33" i="1" s="1"/>
  <c r="D40" i="17"/>
  <c r="AH40" i="1" s="1"/>
  <c r="F40" i="17"/>
  <c r="AJ40" i="1" s="1"/>
  <c r="E34" i="17"/>
  <c r="AI34" i="1" s="1"/>
  <c r="D34" i="17"/>
  <c r="F48"/>
  <c r="AJ48" i="1" s="1"/>
  <c r="D151" i="19"/>
  <c r="G48" i="17"/>
  <c r="AK48" i="1" s="1"/>
  <c r="C41" i="17"/>
  <c r="AG41" i="1" s="1"/>
  <c r="G40" i="17"/>
  <c r="AK40" i="1" s="1"/>
  <c r="F33" i="17"/>
  <c r="AJ33" i="1" s="1"/>
  <c r="C151" i="19"/>
  <c r="E48" i="17"/>
  <c r="AI48" i="1" s="1"/>
  <c r="F51" i="17"/>
  <c r="C40"/>
  <c r="AG40" i="1" s="1"/>
  <c r="C48" i="17"/>
  <c r="AG48" i="1" s="1"/>
  <c r="D48" i="17"/>
  <c r="AH48" i="1" s="1"/>
  <c r="E51" i="17"/>
  <c r="C151" i="16"/>
  <c r="B151" s="1"/>
  <c r="A151" s="1"/>
  <c r="B155"/>
  <c r="A155" s="1"/>
  <c r="D51" i="17"/>
  <c r="C34"/>
  <c r="AG34" i="1" s="1"/>
  <c r="B155" i="19"/>
  <c r="A155" s="1"/>
  <c r="F160"/>
  <c r="F161" s="1"/>
  <c r="B161" s="1"/>
  <c r="F175" i="16"/>
  <c r="F177"/>
  <c r="F180" s="1"/>
  <c r="F183" s="1"/>
  <c r="G57" i="17"/>
  <c r="AK57" i="1" s="1"/>
  <c r="B170" i="16"/>
  <c r="D73" i="11"/>
  <c r="D76" s="1"/>
  <c r="E73"/>
  <c r="E76" s="1"/>
  <c r="E59"/>
  <c r="H217" s="1"/>
  <c r="I59"/>
  <c r="I60" s="1"/>
  <c r="I57" s="1"/>
  <c r="I137" s="1"/>
  <c r="H59"/>
  <c r="H236" s="1"/>
  <c r="F73"/>
  <c r="F22" i="13" s="1"/>
  <c r="C59" i="11"/>
  <c r="H205" s="1"/>
  <c r="F59"/>
  <c r="F60" s="1"/>
  <c r="F57" s="1"/>
  <c r="F137" s="1"/>
  <c r="D59"/>
  <c r="C73"/>
  <c r="C22" i="13" s="1"/>
  <c r="H73" i="11"/>
  <c r="H22" i="13" s="1"/>
  <c r="G73" i="11"/>
  <c r="G76" s="1"/>
  <c r="I73"/>
  <c r="I127" s="1"/>
  <c r="H175" i="16"/>
  <c r="H177"/>
  <c r="H180" s="1"/>
  <c r="H183" s="1"/>
  <c r="H175" i="19"/>
  <c r="F175"/>
  <c r="F177"/>
  <c r="F180" s="1"/>
  <c r="F183" s="1"/>
  <c r="G175"/>
  <c r="G177"/>
  <c r="G180" s="1"/>
  <c r="G183" s="1"/>
  <c r="C175"/>
  <c r="C177"/>
  <c r="C180" s="1"/>
  <c r="H229" i="11"/>
  <c r="H230"/>
  <c r="G60"/>
  <c r="G57" s="1"/>
  <c r="G137" s="1"/>
  <c r="G138" s="1"/>
  <c r="G139" s="1"/>
  <c r="C177" i="16"/>
  <c r="C180" s="1"/>
  <c r="C175"/>
  <c r="H128" i="7"/>
  <c r="H138"/>
  <c r="I128"/>
  <c r="I138"/>
  <c r="B92"/>
  <c r="A92" s="1"/>
  <c r="B104"/>
  <c r="A104" s="1"/>
  <c r="B76"/>
  <c r="A76" s="1"/>
  <c r="B98"/>
  <c r="A98" s="1"/>
  <c r="B82"/>
  <c r="A82" s="1"/>
  <c r="D57" i="17" l="1"/>
  <c r="D83" i="7" s="1"/>
  <c r="AH51" i="1"/>
  <c r="D35" i="17"/>
  <c r="AH35" i="1" s="1"/>
  <c r="AH34"/>
  <c r="E57" i="17"/>
  <c r="E83" i="7" s="1"/>
  <c r="AI51" i="1"/>
  <c r="F57" i="17"/>
  <c r="F83" i="7" s="1"/>
  <c r="AJ51" i="1"/>
  <c r="B170" i="19"/>
  <c r="B161" i="16"/>
  <c r="I177" i="19"/>
  <c r="I180" s="1"/>
  <c r="I183" s="1"/>
  <c r="B160" i="16"/>
  <c r="I129" i="7"/>
  <c r="I134" s="1"/>
  <c r="I135" s="1"/>
  <c r="I136" s="1"/>
  <c r="H129"/>
  <c r="H134" s="1"/>
  <c r="H135" s="1"/>
  <c r="H136" s="1"/>
  <c r="B151" i="19"/>
  <c r="A151" s="1"/>
  <c r="B160"/>
  <c r="G82" i="21"/>
  <c r="G58" i="17"/>
  <c r="I22" i="13"/>
  <c r="G83" i="7"/>
  <c r="D77" i="11"/>
  <c r="D127"/>
  <c r="F138"/>
  <c r="F139" s="1"/>
  <c r="E127"/>
  <c r="H280"/>
  <c r="H251"/>
  <c r="E22" i="13"/>
  <c r="H286" i="11"/>
  <c r="F76"/>
  <c r="F125" s="1"/>
  <c r="C127"/>
  <c r="H262"/>
  <c r="H269"/>
  <c r="H287"/>
  <c r="I77"/>
  <c r="I98" s="1"/>
  <c r="I99" s="1"/>
  <c r="H250"/>
  <c r="H263"/>
  <c r="H268"/>
  <c r="F127"/>
  <c r="I76"/>
  <c r="I125" s="1"/>
  <c r="C76"/>
  <c r="D22" i="13"/>
  <c r="C77" i="11"/>
  <c r="C98" s="1"/>
  <c r="H127"/>
  <c r="E60"/>
  <c r="E57" s="1"/>
  <c r="E77"/>
  <c r="E83" s="1"/>
  <c r="H241"/>
  <c r="I138"/>
  <c r="I139" s="1"/>
  <c r="H224"/>
  <c r="H242"/>
  <c r="F77"/>
  <c r="F98" s="1"/>
  <c r="F99" s="1"/>
  <c r="H223"/>
  <c r="H256"/>
  <c r="H257"/>
  <c r="B175" i="16"/>
  <c r="G127" i="11"/>
  <c r="H281"/>
  <c r="H76"/>
  <c r="H218"/>
  <c r="H219" s="1"/>
  <c r="H220" s="1"/>
  <c r="C60"/>
  <c r="C132" s="1"/>
  <c r="H211"/>
  <c r="D60"/>
  <c r="D57" s="1"/>
  <c r="H60"/>
  <c r="H274"/>
  <c r="G22" i="13"/>
  <c r="H212" i="11"/>
  <c r="H235"/>
  <c r="H237" s="1"/>
  <c r="H238" s="1"/>
  <c r="G77"/>
  <c r="H275"/>
  <c r="H77"/>
  <c r="H206"/>
  <c r="H207" s="1"/>
  <c r="H208" s="1"/>
  <c r="B59"/>
  <c r="A59" s="1"/>
  <c r="B175" i="19"/>
  <c r="I132" i="11"/>
  <c r="I133" s="1"/>
  <c r="G125"/>
  <c r="C183" i="16"/>
  <c r="B183" s="1"/>
  <c r="B180"/>
  <c r="F132" i="11"/>
  <c r="F133" s="1"/>
  <c r="G132"/>
  <c r="G133" s="1"/>
  <c r="H231"/>
  <c r="H232" s="1"/>
  <c r="C183" i="19"/>
  <c r="B180" l="1"/>
  <c r="H130" i="7"/>
  <c r="H131" s="1"/>
  <c r="H132" s="1"/>
  <c r="D58" i="17"/>
  <c r="AH58" i="1" s="1"/>
  <c r="E58" i="17"/>
  <c r="AI58" i="1" s="1"/>
  <c r="G59" i="17"/>
  <c r="AK59" i="1" s="1"/>
  <c r="AK58"/>
  <c r="E82" i="21"/>
  <c r="AI57" i="1"/>
  <c r="D82" i="21"/>
  <c r="AH57" i="1"/>
  <c r="F82" i="21"/>
  <c r="AJ57" i="1"/>
  <c r="F58" i="17"/>
  <c r="B183" i="19"/>
  <c r="I130" i="7"/>
  <c r="I131" s="1"/>
  <c r="I132" s="1"/>
  <c r="H282" i="11"/>
  <c r="H283" s="1"/>
  <c r="E125"/>
  <c r="E137"/>
  <c r="E138" s="1"/>
  <c r="E139" s="1"/>
  <c r="D125"/>
  <c r="D137"/>
  <c r="D138" s="1"/>
  <c r="D139" s="1"/>
  <c r="E140"/>
  <c r="D140"/>
  <c r="D83"/>
  <c r="D84" s="1"/>
  <c r="D105"/>
  <c r="D106" s="1"/>
  <c r="D107" s="1"/>
  <c r="D98"/>
  <c r="D99" s="1"/>
  <c r="D100" s="1"/>
  <c r="E105"/>
  <c r="E106" s="1"/>
  <c r="E107" s="1"/>
  <c r="E98"/>
  <c r="E99" s="1"/>
  <c r="E100" s="1"/>
  <c r="M60"/>
  <c r="A60" s="1"/>
  <c r="A25" i="13" s="1"/>
  <c r="H26" s="1"/>
  <c r="H288" i="11"/>
  <c r="H289" s="1"/>
  <c r="E132"/>
  <c r="E133" s="1"/>
  <c r="E84"/>
  <c r="H270"/>
  <c r="H271" s="1"/>
  <c r="I100"/>
  <c r="I105"/>
  <c r="I106" s="1"/>
  <c r="I107" s="1"/>
  <c r="C83"/>
  <c r="C84" s="1"/>
  <c r="I83"/>
  <c r="I84" s="1"/>
  <c r="C105"/>
  <c r="C106" s="1"/>
  <c r="H252"/>
  <c r="H253" s="1"/>
  <c r="C140"/>
  <c r="F83"/>
  <c r="F84" s="1"/>
  <c r="I140"/>
  <c r="F100"/>
  <c r="H264"/>
  <c r="H265" s="1"/>
  <c r="H140"/>
  <c r="H105"/>
  <c r="H106" s="1"/>
  <c r="B127"/>
  <c r="A127" s="1"/>
  <c r="F105"/>
  <c r="F106" s="1"/>
  <c r="F107" s="1"/>
  <c r="F140"/>
  <c r="H276"/>
  <c r="H277" s="1"/>
  <c r="H243"/>
  <c r="H244" s="1"/>
  <c r="H225"/>
  <c r="H226" s="1"/>
  <c r="G140"/>
  <c r="C99"/>
  <c r="G105"/>
  <c r="G106" s="1"/>
  <c r="G107" s="1"/>
  <c r="C57"/>
  <c r="G98"/>
  <c r="G99" s="1"/>
  <c r="G100" s="1"/>
  <c r="G83"/>
  <c r="G84" s="1"/>
  <c r="H258"/>
  <c r="H259" s="1"/>
  <c r="H213"/>
  <c r="H214" s="1"/>
  <c r="H98"/>
  <c r="H99" s="1"/>
  <c r="H83"/>
  <c r="H84" s="1"/>
  <c r="D132"/>
  <c r="D133" s="1"/>
  <c r="H57"/>
  <c r="H137" s="1"/>
  <c r="H138" s="1"/>
  <c r="H139" s="1"/>
  <c r="H132"/>
  <c r="D59" i="17" l="1"/>
  <c r="AH59" i="1" s="1"/>
  <c r="E59" i="17"/>
  <c r="AI59" i="1" s="1"/>
  <c r="F59" i="17"/>
  <c r="AJ59" i="1" s="1"/>
  <c r="AJ58"/>
  <c r="H107" i="11"/>
  <c r="H100"/>
  <c r="C125"/>
  <c r="C137"/>
  <c r="C138" s="1"/>
  <c r="C139" s="1"/>
  <c r="B139" s="1"/>
  <c r="A139" s="1"/>
  <c r="A28" i="13"/>
  <c r="C26"/>
  <c r="G26"/>
  <c r="I26"/>
  <c r="F26"/>
  <c r="A27"/>
  <c r="A26"/>
  <c r="F27" s="1"/>
  <c r="F28" s="1"/>
  <c r="D26"/>
  <c r="E26"/>
  <c r="C100" i="11"/>
  <c r="C85"/>
  <c r="C133"/>
  <c r="C107"/>
  <c r="H133"/>
  <c r="H125"/>
  <c r="C27" i="13" l="1"/>
  <c r="C28" s="1"/>
  <c r="E27"/>
  <c r="E28" s="1"/>
  <c r="D27"/>
  <c r="D28" s="1"/>
  <c r="I27"/>
  <c r="I28" s="1"/>
  <c r="H27"/>
  <c r="H28" s="1"/>
  <c r="G27"/>
  <c r="G28" s="1"/>
  <c r="B133" i="11"/>
  <c r="A133" s="1"/>
  <c r="C112" i="1" l="1"/>
  <c r="C113" s="1"/>
  <c r="C90" l="1"/>
  <c r="C117"/>
  <c r="D144" i="22" s="1"/>
  <c r="C144" s="1"/>
  <c r="C95" i="1"/>
  <c r="C74"/>
  <c r="C94"/>
  <c r="C72"/>
  <c r="C73" s="1"/>
  <c r="C100"/>
  <c r="B113"/>
  <c r="A113" s="1"/>
  <c r="C101"/>
  <c r="C102" s="1"/>
  <c r="C103" s="1"/>
  <c r="C106"/>
  <c r="C107" s="1"/>
  <c r="C108" s="1"/>
  <c r="C79"/>
  <c r="C80" s="1"/>
  <c r="C81" s="1"/>
  <c r="C89"/>
  <c r="C91" l="1"/>
  <c r="C92" s="1"/>
  <c r="D143" i="22" s="1"/>
  <c r="C143" s="1"/>
  <c r="A143" s="1"/>
  <c r="C104" i="1"/>
  <c r="B104" s="1"/>
  <c r="A104" s="1"/>
  <c r="B117"/>
  <c r="A117" s="1"/>
  <c r="C96"/>
  <c r="C97" s="1"/>
  <c r="C82"/>
  <c r="C75"/>
  <c r="B108"/>
  <c r="A108" s="1"/>
  <c r="C98" l="1"/>
  <c r="B98" s="1"/>
  <c r="A98" s="1"/>
  <c r="C76"/>
  <c r="B76" s="1"/>
  <c r="A76" s="1"/>
  <c r="B82"/>
  <c r="A82" s="1"/>
  <c r="F83" l="1"/>
  <c r="D83"/>
  <c r="G83" l="1"/>
  <c r="B48" i="17" l="1"/>
  <c r="G42"/>
  <c r="AK42" i="1" s="1"/>
  <c r="C42" i="17"/>
  <c r="AG42" i="1" s="1"/>
  <c r="E42" i="17"/>
  <c r="AI42" i="1" s="1"/>
  <c r="D42" i="17"/>
  <c r="AH42" i="1" s="1"/>
  <c r="C35" i="17"/>
  <c r="AG35" i="1" s="1"/>
  <c r="E35" i="17"/>
  <c r="AI35" i="1" s="1"/>
  <c r="F42" i="17"/>
  <c r="AJ42" i="1" s="1"/>
  <c r="G35" i="17"/>
  <c r="AK35" i="1" s="1"/>
  <c r="F35" i="17"/>
  <c r="AJ35" i="1" s="1"/>
  <c r="A48" i="17" l="1"/>
  <c r="AE48" i="1" s="1"/>
  <c r="AF48"/>
  <c r="B42" i="17"/>
  <c r="AF42" i="1" s="1"/>
  <c r="B35" i="17"/>
  <c r="AF35" i="1" s="1"/>
  <c r="B32" i="17"/>
  <c r="A32" l="1"/>
  <c r="AE32" i="1" s="1"/>
  <c r="AF32"/>
  <c r="C36" i="17"/>
  <c r="G36"/>
  <c r="D36"/>
  <c r="E36"/>
  <c r="F36"/>
  <c r="G37" l="1"/>
  <c r="AK37" i="1" s="1"/>
  <c r="AK36"/>
  <c r="D37" i="17"/>
  <c r="AH37" i="1" s="1"/>
  <c r="AH36"/>
  <c r="E37" i="17"/>
  <c r="AI37" i="1" s="1"/>
  <c r="AI36"/>
  <c r="F37" i="17"/>
  <c r="AJ37" i="1" s="1"/>
  <c r="AJ36"/>
  <c r="C37" i="17"/>
  <c r="AG37" i="1" s="1"/>
  <c r="AG36"/>
  <c r="F43" i="17"/>
  <c r="AJ43" i="1" s="1"/>
  <c r="E43" i="17"/>
  <c r="AI43" i="1" s="1"/>
  <c r="D43" i="17"/>
  <c r="AH43" i="1" s="1"/>
  <c r="G43" i="17"/>
  <c r="AK43" i="1" s="1"/>
  <c r="C43" i="17"/>
  <c r="AG43" i="1" s="1"/>
  <c r="B36" i="17"/>
  <c r="A36" l="1"/>
  <c r="AE36" i="1" s="1"/>
  <c r="AF36"/>
  <c r="G44" i="17"/>
  <c r="E44"/>
  <c r="D44"/>
  <c r="F44"/>
  <c r="C44"/>
  <c r="AG44" i="1" s="1"/>
  <c r="B43" i="17"/>
  <c r="A43" l="1"/>
  <c r="AE43" i="1" s="1"/>
  <c r="AF43"/>
  <c r="E45" i="17"/>
  <c r="AI44" i="1"/>
  <c r="D45" i="17"/>
  <c r="D85" i="7" s="1"/>
  <c r="D86" s="1"/>
  <c r="D87" s="1"/>
  <c r="D121" s="1"/>
  <c r="D122" s="1"/>
  <c r="AH44" i="1"/>
  <c r="F45" i="17"/>
  <c r="AJ45" i="1" s="1"/>
  <c r="AJ44"/>
  <c r="G45" i="17"/>
  <c r="AK45" i="1" s="1"/>
  <c r="AK44"/>
  <c r="G85" i="7"/>
  <c r="G86" s="1"/>
  <c r="G87" s="1"/>
  <c r="G121" s="1"/>
  <c r="G122" s="1"/>
  <c r="G85" i="1"/>
  <c r="G86" s="1"/>
  <c r="G87" s="1"/>
  <c r="G121" s="1"/>
  <c r="G122" s="1"/>
  <c r="G84" i="21"/>
  <c r="G85" s="1"/>
  <c r="G86" s="1"/>
  <c r="G120" s="1"/>
  <c r="G121" s="1"/>
  <c r="F85" i="7"/>
  <c r="F86" s="1"/>
  <c r="F87" s="1"/>
  <c r="F121" s="1"/>
  <c r="F122" s="1"/>
  <c r="F84" i="21"/>
  <c r="F85" s="1"/>
  <c r="F86" s="1"/>
  <c r="F120" s="1"/>
  <c r="F121" s="1"/>
  <c r="F85" i="1"/>
  <c r="F86" s="1"/>
  <c r="F87" s="1"/>
  <c r="F121" s="1"/>
  <c r="F122" s="1"/>
  <c r="E85" i="7"/>
  <c r="E86" s="1"/>
  <c r="E87" s="1"/>
  <c r="E121" s="1"/>
  <c r="E122" s="1"/>
  <c r="E85" i="1"/>
  <c r="D85"/>
  <c r="D86" s="1"/>
  <c r="D87" s="1"/>
  <c r="D121" s="1"/>
  <c r="D122" s="1"/>
  <c r="B44" i="17"/>
  <c r="C45"/>
  <c r="AG45" i="1" s="1"/>
  <c r="AI45" l="1"/>
  <c r="E84" i="21"/>
  <c r="E85" s="1"/>
  <c r="E86" s="1"/>
  <c r="E120" s="1"/>
  <c r="E121" s="1"/>
  <c r="AH45" i="1"/>
  <c r="D84" i="21"/>
  <c r="D85" s="1"/>
  <c r="D86" s="1"/>
  <c r="A44" i="17"/>
  <c r="AE44" i="1" s="1"/>
  <c r="AF44"/>
  <c r="E136" i="22"/>
  <c r="E137" s="1"/>
  <c r="E138" s="1"/>
  <c r="E149"/>
  <c r="G149"/>
  <c r="G136"/>
  <c r="G137" s="1"/>
  <c r="G138" s="1"/>
  <c r="G140" s="1"/>
  <c r="H149"/>
  <c r="H136"/>
  <c r="H137" s="1"/>
  <c r="H138" s="1"/>
  <c r="H140" s="1"/>
  <c r="G128" i="1"/>
  <c r="G138"/>
  <c r="G170" i="21"/>
  <c r="G127"/>
  <c r="G128" s="1"/>
  <c r="G137"/>
  <c r="G128" i="7"/>
  <c r="G138"/>
  <c r="F127" i="21"/>
  <c r="F170"/>
  <c r="F137"/>
  <c r="F138" i="1"/>
  <c r="F128"/>
  <c r="F128" i="7"/>
  <c r="F129" s="1"/>
  <c r="F138"/>
  <c r="E138"/>
  <c r="E128"/>
  <c r="I22" i="12"/>
  <c r="E22"/>
  <c r="G22"/>
  <c r="D22"/>
  <c r="H22"/>
  <c r="F22"/>
  <c r="C22"/>
  <c r="E137" i="21" l="1"/>
  <c r="E170"/>
  <c r="E127"/>
  <c r="E128" s="1"/>
  <c r="F174"/>
  <c r="D120"/>
  <c r="D121" s="1"/>
  <c r="G171"/>
  <c r="AA9" i="1" s="1"/>
  <c r="AA8"/>
  <c r="F171" i="21"/>
  <c r="Z9" i="1" s="1"/>
  <c r="Z8"/>
  <c r="F129"/>
  <c r="F134" s="1"/>
  <c r="F135" s="1"/>
  <c r="F136" s="1"/>
  <c r="G129" i="7"/>
  <c r="G130" s="1"/>
  <c r="G131" s="1"/>
  <c r="G132" s="1"/>
  <c r="G129" i="1"/>
  <c r="G130" s="1"/>
  <c r="G131" s="1"/>
  <c r="G132" s="1"/>
  <c r="G129" i="21"/>
  <c r="G130" s="1"/>
  <c r="G213" s="1"/>
  <c r="G133"/>
  <c r="G134" s="1"/>
  <c r="G135" s="1"/>
  <c r="F134" i="7"/>
  <c r="F135" s="1"/>
  <c r="F136" s="1"/>
  <c r="F130"/>
  <c r="F131" s="1"/>
  <c r="F132" s="1"/>
  <c r="F128" i="21"/>
  <c r="B128" i="7"/>
  <c r="A128" s="1"/>
  <c r="E129"/>
  <c r="B22" i="12"/>
  <c r="B127" i="21" l="1"/>
  <c r="A127" s="1"/>
  <c r="E133"/>
  <c r="E134" s="1"/>
  <c r="E135" s="1"/>
  <c r="E129"/>
  <c r="E130" s="1"/>
  <c r="E213" s="1"/>
  <c r="Y8" i="1"/>
  <c r="E171" i="21"/>
  <c r="E199" s="1"/>
  <c r="D137"/>
  <c r="D140"/>
  <c r="D141" s="1"/>
  <c r="D142" s="1"/>
  <c r="D143" s="1"/>
  <c r="D174"/>
  <c r="X12" i="1" s="1"/>
  <c r="Z12"/>
  <c r="F199" i="21"/>
  <c r="G199"/>
  <c r="F172"/>
  <c r="Z10" i="1" s="1"/>
  <c r="G172" i="21"/>
  <c r="AA10" i="1" s="1"/>
  <c r="F130"/>
  <c r="F131" s="1"/>
  <c r="F132" s="1"/>
  <c r="G134"/>
  <c r="G135" s="1"/>
  <c r="G136" s="1"/>
  <c r="G134" i="7"/>
  <c r="G135" s="1"/>
  <c r="G136" s="1"/>
  <c r="G131" i="21"/>
  <c r="F129"/>
  <c r="F130" s="1"/>
  <c r="F133"/>
  <c r="F134" s="1"/>
  <c r="F135" s="1"/>
  <c r="E130" i="7"/>
  <c r="E131" s="1"/>
  <c r="E134"/>
  <c r="E135" s="1"/>
  <c r="E136" s="1"/>
  <c r="D74" i="11"/>
  <c r="E74"/>
  <c r="I74"/>
  <c r="H74"/>
  <c r="C74"/>
  <c r="B73"/>
  <c r="A73" s="1"/>
  <c r="F74"/>
  <c r="G74"/>
  <c r="C136" i="21" l="1"/>
  <c r="A136" s="1"/>
  <c r="F131"/>
  <c r="F213"/>
  <c r="B213" s="1"/>
  <c r="A204" s="1"/>
  <c r="Y9" i="1"/>
  <c r="E172" i="21"/>
  <c r="Y10" i="1" s="1"/>
  <c r="E131" i="21"/>
  <c r="B131" s="1"/>
  <c r="C132" s="1"/>
  <c r="D199"/>
  <c r="B183" s="1"/>
  <c r="V21" i="1" s="1"/>
  <c r="B136" i="7"/>
  <c r="B130" i="21"/>
  <c r="J130"/>
  <c r="E132" i="7"/>
  <c r="B132" s="1"/>
  <c r="B131"/>
  <c r="E86" i="1"/>
  <c r="E87" s="1"/>
  <c r="M74" i="11"/>
  <c r="A74" s="1"/>
  <c r="A22" i="13" s="1"/>
  <c r="I85" i="11"/>
  <c r="I120"/>
  <c r="I121" s="1"/>
  <c r="I90"/>
  <c r="I91" s="1"/>
  <c r="I92" s="1"/>
  <c r="I93" s="1"/>
  <c r="I113"/>
  <c r="I114" s="1"/>
  <c r="C90"/>
  <c r="C91" s="1"/>
  <c r="C92" s="1"/>
  <c r="C93" s="1"/>
  <c r="C113"/>
  <c r="C114" s="1"/>
  <c r="G85"/>
  <c r="G120"/>
  <c r="G121" s="1"/>
  <c r="G90"/>
  <c r="G91" s="1"/>
  <c r="G92" s="1"/>
  <c r="G93" s="1"/>
  <c r="G113"/>
  <c r="G114" s="1"/>
  <c r="F85"/>
  <c r="F120"/>
  <c r="F121" s="1"/>
  <c r="F90"/>
  <c r="F91" s="1"/>
  <c r="F92" s="1"/>
  <c r="F93" s="1"/>
  <c r="F113"/>
  <c r="F114" s="1"/>
  <c r="E120"/>
  <c r="E121" s="1"/>
  <c r="E90"/>
  <c r="E91" s="1"/>
  <c r="E113"/>
  <c r="E114" s="1"/>
  <c r="E85"/>
  <c r="B172" i="21" l="1"/>
  <c r="V10" i="1" s="1"/>
  <c r="L209" i="21"/>
  <c r="I211" s="1"/>
  <c r="J210" s="1"/>
  <c r="J209"/>
  <c r="I209" s="1"/>
  <c r="D209"/>
  <c r="B210" s="1"/>
  <c r="K209"/>
  <c r="I210" s="1"/>
  <c r="E209"/>
  <c r="B211" s="1"/>
  <c r="C210" s="1"/>
  <c r="C211" s="1"/>
  <c r="C209"/>
  <c r="B209" s="1"/>
  <c r="H132"/>
  <c r="F132"/>
  <c r="D132"/>
  <c r="G132"/>
  <c r="I132"/>
  <c r="E132"/>
  <c r="D137" i="7"/>
  <c r="D138" s="1"/>
  <c r="D139" s="1"/>
  <c r="D140" s="1"/>
  <c r="D141" s="1"/>
  <c r="D142" s="1"/>
  <c r="D143" s="1"/>
  <c r="D144" s="1"/>
  <c r="C137"/>
  <c r="D133"/>
  <c r="F133"/>
  <c r="H133"/>
  <c r="E133"/>
  <c r="I133"/>
  <c r="C133"/>
  <c r="G133"/>
  <c r="E121" i="1"/>
  <c r="E83"/>
  <c r="E92" i="11"/>
  <c r="E93" s="1"/>
  <c r="E143" s="1"/>
  <c r="E144" s="1"/>
  <c r="I143"/>
  <c r="I144" s="1"/>
  <c r="F143"/>
  <c r="F144" s="1"/>
  <c r="G143"/>
  <c r="G144" s="1"/>
  <c r="B107"/>
  <c r="A107" s="1"/>
  <c r="B100"/>
  <c r="A100" s="1"/>
  <c r="C120"/>
  <c r="C121" s="1"/>
  <c r="D120"/>
  <c r="D121" s="1"/>
  <c r="B77"/>
  <c r="D85"/>
  <c r="B125"/>
  <c r="A125" s="1"/>
  <c r="D113"/>
  <c r="D114" s="1"/>
  <c r="D90"/>
  <c r="D91" s="1"/>
  <c r="H85"/>
  <c r="H120"/>
  <c r="H121" s="1"/>
  <c r="H90"/>
  <c r="H91" s="1"/>
  <c r="H92" s="1"/>
  <c r="H93" s="1"/>
  <c r="H113"/>
  <c r="H114" s="1"/>
  <c r="B186" i="21" l="1"/>
  <c r="V24" i="1" s="1"/>
  <c r="A137" i="7"/>
  <c r="B132" i="21"/>
  <c r="B133" i="7"/>
  <c r="E122" i="1"/>
  <c r="D92" i="11"/>
  <c r="D93" s="1"/>
  <c r="D143" s="1"/>
  <c r="D144" s="1"/>
  <c r="H143"/>
  <c r="H144" s="1"/>
  <c r="C143"/>
  <c r="C144" s="1"/>
  <c r="F150"/>
  <c r="F160"/>
  <c r="E150"/>
  <c r="E160"/>
  <c r="G150"/>
  <c r="G160"/>
  <c r="I150"/>
  <c r="I160"/>
  <c r="B121"/>
  <c r="A121" s="1"/>
  <c r="B114"/>
  <c r="A114" s="1"/>
  <c r="B85"/>
  <c r="A85" s="1"/>
  <c r="B84"/>
  <c r="B83"/>
  <c r="B140"/>
  <c r="A140" s="1"/>
  <c r="F149" i="22" l="1"/>
  <c r="F136"/>
  <c r="F137" s="1"/>
  <c r="F138" s="1"/>
  <c r="F140" s="1"/>
  <c r="C141" s="1"/>
  <c r="A156" s="1"/>
  <c r="I151" i="11"/>
  <c r="I156" s="1"/>
  <c r="I157" s="1"/>
  <c r="I158" s="1"/>
  <c r="G151"/>
  <c r="G152" s="1"/>
  <c r="G153" s="1"/>
  <c r="G154" s="1"/>
  <c r="F151"/>
  <c r="F156" s="1"/>
  <c r="F157" s="1"/>
  <c r="F158" s="1"/>
  <c r="B93"/>
  <c r="A93" s="1"/>
  <c r="E138" i="1"/>
  <c r="E128"/>
  <c r="E151" i="11"/>
  <c r="E152" s="1"/>
  <c r="E153" s="1"/>
  <c r="H150"/>
  <c r="H160"/>
  <c r="D163"/>
  <c r="D164" s="1"/>
  <c r="D165" s="1"/>
  <c r="D166" s="1"/>
  <c r="D160"/>
  <c r="B143"/>
  <c r="B144"/>
  <c r="I152" l="1"/>
  <c r="I153" s="1"/>
  <c r="I154" s="1"/>
  <c r="G156"/>
  <c r="G157" s="1"/>
  <c r="G158" s="1"/>
  <c r="H151"/>
  <c r="H156" s="1"/>
  <c r="H157" s="1"/>
  <c r="H158" s="1"/>
  <c r="F152"/>
  <c r="F153" s="1"/>
  <c r="F154" s="1"/>
  <c r="B128" i="1"/>
  <c r="A128" s="1"/>
  <c r="E129"/>
  <c r="E154" i="11"/>
  <c r="E156"/>
  <c r="E157" s="1"/>
  <c r="E158" s="1"/>
  <c r="B150"/>
  <c r="A150" s="1"/>
  <c r="C159" l="1"/>
  <c r="C160" s="1"/>
  <c r="H152"/>
  <c r="H153" s="1"/>
  <c r="H154" s="1"/>
  <c r="B154" s="1"/>
  <c r="I155" s="1"/>
  <c r="E134" i="1"/>
  <c r="E135" s="1"/>
  <c r="E136" s="1"/>
  <c r="B136" s="1"/>
  <c r="C137" s="1"/>
  <c r="E130"/>
  <c r="E131" s="1"/>
  <c r="E226" s="1"/>
  <c r="D226" l="1"/>
  <c r="C161" i="11"/>
  <c r="C162" s="1"/>
  <c r="C163" s="1"/>
  <c r="C164" s="1"/>
  <c r="C165" s="1"/>
  <c r="C166" s="1"/>
  <c r="B153"/>
  <c r="A159"/>
  <c r="D113" i="22"/>
  <c r="D67" s="1"/>
  <c r="G155" i="11"/>
  <c r="H155"/>
  <c r="F155"/>
  <c r="C155"/>
  <c r="D155"/>
  <c r="E155"/>
  <c r="E132" i="1"/>
  <c r="B131"/>
  <c r="G240" i="6" l="1"/>
  <c r="B132" i="1"/>
  <c r="F133" s="1"/>
  <c r="C67" i="22"/>
  <c r="D134"/>
  <c r="C134" s="1"/>
  <c r="B163" i="11"/>
  <c r="D138" i="1"/>
  <c r="D139" s="1"/>
  <c r="D140" s="1"/>
  <c r="D141" s="1"/>
  <c r="D142" s="1"/>
  <c r="D143" s="1"/>
  <c r="D144" s="1"/>
  <c r="A137"/>
  <c r="B155" i="11"/>
  <c r="D168"/>
  <c r="D167" s="1"/>
  <c r="C168"/>
  <c r="C167" s="1"/>
  <c r="E133" i="1" l="1"/>
  <c r="I133"/>
  <c r="D133"/>
  <c r="H133"/>
  <c r="C133"/>
  <c r="G133"/>
  <c r="B167" i="11"/>
  <c r="A167" s="1"/>
  <c r="B168"/>
  <c r="I169" s="1"/>
  <c r="B133" i="1" l="1"/>
  <c r="E169" i="11"/>
  <c r="G169"/>
  <c r="C169"/>
  <c r="H169"/>
  <c r="D169"/>
  <c r="F169"/>
  <c r="D170" l="1"/>
  <c r="D171" s="1"/>
  <c r="D176" s="1"/>
  <c r="D177" s="1"/>
  <c r="D179" s="1"/>
  <c r="C170"/>
  <c r="C188" s="1"/>
  <c r="C190" s="1"/>
  <c r="C192" s="1"/>
  <c r="B169"/>
  <c r="G170" s="1"/>
  <c r="C220" i="15"/>
  <c r="C220" i="8"/>
  <c r="G171" i="11" l="1"/>
  <c r="G176" s="1"/>
  <c r="G177" s="1"/>
  <c r="G179" s="1"/>
  <c r="G188"/>
  <c r="G187"/>
  <c r="I170"/>
  <c r="F170"/>
  <c r="F188" s="1"/>
  <c r="D187"/>
  <c r="D189" s="1"/>
  <c r="D188"/>
  <c r="C194"/>
  <c r="C197" s="1"/>
  <c r="C198" s="1"/>
  <c r="C171"/>
  <c r="C176" s="1"/>
  <c r="C177" s="1"/>
  <c r="C179" s="1"/>
  <c r="H170"/>
  <c r="C187"/>
  <c r="C189" s="1"/>
  <c r="C193" s="1"/>
  <c r="C196" s="1"/>
  <c r="E170"/>
  <c r="E187" s="1"/>
  <c r="I171" l="1"/>
  <c r="I176" s="1"/>
  <c r="I177" s="1"/>
  <c r="I179" s="1"/>
  <c r="I188"/>
  <c r="I187"/>
  <c r="H171"/>
  <c r="H176" s="1"/>
  <c r="H177" s="1"/>
  <c r="H179" s="1"/>
  <c r="H188"/>
  <c r="H187"/>
  <c r="G189"/>
  <c r="G190"/>
  <c r="F187"/>
  <c r="F171"/>
  <c r="F176" s="1"/>
  <c r="F177" s="1"/>
  <c r="F179" s="1"/>
  <c r="C191"/>
  <c r="D190"/>
  <c r="D194" s="1"/>
  <c r="D197" s="1"/>
  <c r="D198" s="1"/>
  <c r="E171"/>
  <c r="E176" s="1"/>
  <c r="E177" s="1"/>
  <c r="E179" s="1"/>
  <c r="E188"/>
  <c r="B170"/>
  <c r="E189"/>
  <c r="E190"/>
  <c r="D193"/>
  <c r="D196" s="1"/>
  <c r="D199" s="1"/>
  <c r="D191"/>
  <c r="C199"/>
  <c r="B187" l="1"/>
  <c r="I189"/>
  <c r="I190"/>
  <c r="H190"/>
  <c r="H189"/>
  <c r="G192"/>
  <c r="G194"/>
  <c r="G197" s="1"/>
  <c r="G198" s="1"/>
  <c r="G191"/>
  <c r="G193"/>
  <c r="G196" s="1"/>
  <c r="G199" s="1"/>
  <c r="F190"/>
  <c r="F192" s="1"/>
  <c r="F189"/>
  <c r="F193" s="1"/>
  <c r="F196" s="1"/>
  <c r="F199" s="1"/>
  <c r="B171"/>
  <c r="D173" s="1"/>
  <c r="B177"/>
  <c r="D192"/>
  <c r="B176"/>
  <c r="E191"/>
  <c r="E193"/>
  <c r="E196" s="1"/>
  <c r="E199" s="1"/>
  <c r="E192"/>
  <c r="E194"/>
  <c r="E197" s="1"/>
  <c r="E198" s="1"/>
  <c r="I192" l="1"/>
  <c r="I194"/>
  <c r="I197" s="1"/>
  <c r="I198" s="1"/>
  <c r="I193"/>
  <c r="I196" s="1"/>
  <c r="I199" s="1"/>
  <c r="I191"/>
  <c r="H193"/>
  <c r="H196" s="1"/>
  <c r="H199" s="1"/>
  <c r="H191"/>
  <c r="H192"/>
  <c r="H194"/>
  <c r="H197" s="1"/>
  <c r="H198" s="1"/>
  <c r="F194"/>
  <c r="F197" s="1"/>
  <c r="F198" s="1"/>
  <c r="C173"/>
  <c r="B173" s="1"/>
  <c r="A173" s="1"/>
  <c r="F191"/>
  <c r="B191" l="1"/>
  <c r="B199"/>
  <c r="B196"/>
  <c r="C57" i="17"/>
  <c r="B51"/>
  <c r="A51" l="1"/>
  <c r="AE51" i="1" s="1"/>
  <c r="AF51"/>
  <c r="C84" i="21"/>
  <c r="C85" s="1"/>
  <c r="C86" s="1"/>
  <c r="E174" s="1"/>
  <c r="AG57" i="1"/>
  <c r="C82" i="21"/>
  <c r="C83" s="1"/>
  <c r="C85" i="1"/>
  <c r="C86" s="1"/>
  <c r="C87" s="1"/>
  <c r="C85" i="7"/>
  <c r="C86" s="1"/>
  <c r="C87" s="1"/>
  <c r="C83" i="1"/>
  <c r="C84" s="1"/>
  <c r="C83" i="7"/>
  <c r="C84" s="1"/>
  <c r="C58" i="17"/>
  <c r="AG58" i="1" s="1"/>
  <c r="B57" i="17"/>
  <c r="AF57" i="1" s="1"/>
  <c r="C174" i="21" l="1"/>
  <c r="Y12" i="1"/>
  <c r="C120" i="21"/>
  <c r="B86"/>
  <c r="A86" s="1"/>
  <c r="B87" i="7"/>
  <c r="A87" s="1"/>
  <c r="C121"/>
  <c r="B87" i="1"/>
  <c r="A87" s="1"/>
  <c r="C52" i="17"/>
  <c r="AG52" i="1" s="1"/>
  <c r="G52" i="17"/>
  <c r="D52"/>
  <c r="E52"/>
  <c r="F52"/>
  <c r="A57"/>
  <c r="AE57" i="1" s="1"/>
  <c r="C59" i="17"/>
  <c r="AG59" i="1" s="1"/>
  <c r="B58" i="17"/>
  <c r="G53" l="1"/>
  <c r="AK53" i="1" s="1"/>
  <c r="AK52"/>
  <c r="A58" i="17"/>
  <c r="AE58" i="1" s="1"/>
  <c r="AF58"/>
  <c r="E53" i="17"/>
  <c r="AI53" i="1" s="1"/>
  <c r="AI52"/>
  <c r="F53" i="17"/>
  <c r="AJ53" i="1" s="1"/>
  <c r="AJ52"/>
  <c r="D53" i="17"/>
  <c r="AH53" i="1" s="1"/>
  <c r="AH52"/>
  <c r="B174" i="21"/>
  <c r="V12" i="1" s="1"/>
  <c r="W12"/>
  <c r="C121" i="21"/>
  <c r="B120"/>
  <c r="C122" i="7"/>
  <c r="B121"/>
  <c r="B52" i="17"/>
  <c r="C53"/>
  <c r="AG53" i="1" s="1"/>
  <c r="A54" i="17" l="1"/>
  <c r="AE54" i="1" s="1"/>
  <c r="AF52"/>
  <c r="B121" i="21"/>
  <c r="C137"/>
  <c r="C138" s="1"/>
  <c r="C139" s="1"/>
  <c r="C140" s="1"/>
  <c r="A52" i="17"/>
  <c r="AE52" i="1" s="1"/>
  <c r="C138" i="7"/>
  <c r="C139" s="1"/>
  <c r="C140" s="1"/>
  <c r="C141" s="1"/>
  <c r="B122"/>
  <c r="B141" l="1"/>
  <c r="C141" i="21"/>
  <c r="C142" s="1"/>
  <c r="C143" s="1"/>
  <c r="C145" s="1"/>
  <c r="C144" s="1"/>
  <c r="B140"/>
  <c r="B173" s="1"/>
  <c r="V11" i="1" s="1"/>
  <c r="D144" i="21"/>
  <c r="D145"/>
  <c r="D145" i="7"/>
  <c r="D146"/>
  <c r="C142"/>
  <c r="C143" s="1"/>
  <c r="C144" s="1"/>
  <c r="C146" s="1"/>
  <c r="C145" s="1"/>
  <c r="B144" i="21" l="1"/>
  <c r="A144" s="1"/>
  <c r="B145" i="7"/>
  <c r="A145" s="1"/>
  <c r="C145" i="1"/>
  <c r="B145" i="21"/>
  <c r="B146" i="7"/>
  <c r="E147" s="1"/>
  <c r="E146" i="21" l="1"/>
  <c r="D146"/>
  <c r="F146"/>
  <c r="I146"/>
  <c r="G146"/>
  <c r="C146"/>
  <c r="H146"/>
  <c r="C147" i="7"/>
  <c r="D147"/>
  <c r="H147"/>
  <c r="G147"/>
  <c r="F147"/>
  <c r="I147"/>
  <c r="B175" i="21" l="1"/>
  <c r="V13" i="1" s="1"/>
  <c r="D147" i="21"/>
  <c r="D148" s="1"/>
  <c r="D156" s="1"/>
  <c r="D157" s="1"/>
  <c r="B146"/>
  <c r="G147" s="1"/>
  <c r="G148" s="1"/>
  <c r="C147"/>
  <c r="B147" i="7"/>
  <c r="G148" s="1"/>
  <c r="C148"/>
  <c r="C149" s="1"/>
  <c r="D148"/>
  <c r="G149" l="1"/>
  <c r="G155" s="1"/>
  <c r="G173"/>
  <c r="G175" s="1"/>
  <c r="G172"/>
  <c r="G18" i="9" s="1"/>
  <c r="F147" i="21"/>
  <c r="F148" s="1"/>
  <c r="F156" s="1"/>
  <c r="F157" s="1"/>
  <c r="D154"/>
  <c r="D159" s="1"/>
  <c r="D160" s="1"/>
  <c r="E147"/>
  <c r="E148" s="1"/>
  <c r="E156" s="1"/>
  <c r="E157" s="1"/>
  <c r="C148"/>
  <c r="G156"/>
  <c r="G157" s="1"/>
  <c r="G154"/>
  <c r="I147"/>
  <c r="I148" s="1"/>
  <c r="H147"/>
  <c r="H148" s="1"/>
  <c r="D151"/>
  <c r="D153" s="1"/>
  <c r="D149" i="7"/>
  <c r="D155" s="1"/>
  <c r="D173"/>
  <c r="D175" s="1"/>
  <c r="D172"/>
  <c r="D18" i="9" s="1"/>
  <c r="F148" i="7"/>
  <c r="E148"/>
  <c r="H148"/>
  <c r="C173"/>
  <c r="C175" s="1"/>
  <c r="C179" s="1"/>
  <c r="C182" s="1"/>
  <c r="C183" s="1"/>
  <c r="C172"/>
  <c r="C18" i="9" s="1"/>
  <c r="I148" i="7"/>
  <c r="C157"/>
  <c r="C158" s="1"/>
  <c r="G157" l="1"/>
  <c r="G158" s="1"/>
  <c r="G171" s="1"/>
  <c r="G17" i="9" s="1"/>
  <c r="I172" i="1"/>
  <c r="I171"/>
  <c r="I149" i="7"/>
  <c r="I155" s="1"/>
  <c r="I173"/>
  <c r="I175" s="1"/>
  <c r="I172"/>
  <c r="I18" i="9" s="1"/>
  <c r="H149" i="7"/>
  <c r="H155" s="1"/>
  <c r="H173"/>
  <c r="H175" s="1"/>
  <c r="H172"/>
  <c r="H18" i="9" s="1"/>
  <c r="G179" i="7"/>
  <c r="G182" s="1"/>
  <c r="G183" s="1"/>
  <c r="G177"/>
  <c r="F154" i="21"/>
  <c r="F159" s="1"/>
  <c r="F160" s="1"/>
  <c r="E154"/>
  <c r="E159" s="1"/>
  <c r="E160" s="1"/>
  <c r="F151"/>
  <c r="F153" s="1"/>
  <c r="G159"/>
  <c r="G160" s="1"/>
  <c r="G151"/>
  <c r="G153" s="1"/>
  <c r="I156"/>
  <c r="I157" s="1"/>
  <c r="I154"/>
  <c r="C154"/>
  <c r="C156"/>
  <c r="C157" s="1"/>
  <c r="B148"/>
  <c r="E151"/>
  <c r="E153" s="1"/>
  <c r="H156"/>
  <c r="H157" s="1"/>
  <c r="H154"/>
  <c r="B147"/>
  <c r="F149" i="7"/>
  <c r="F155" s="1"/>
  <c r="F173"/>
  <c r="F175" s="1"/>
  <c r="F172"/>
  <c r="F18" i="9" s="1"/>
  <c r="E149" i="7"/>
  <c r="E157" s="1"/>
  <c r="E158" s="1"/>
  <c r="E173"/>
  <c r="E175" s="1"/>
  <c r="E172"/>
  <c r="E18" i="9" s="1"/>
  <c r="D157" i="7"/>
  <c r="D158" s="1"/>
  <c r="D171" s="1"/>
  <c r="D17" i="9" s="1"/>
  <c r="D179" i="7"/>
  <c r="D182" s="1"/>
  <c r="D183" s="1"/>
  <c r="D177"/>
  <c r="C177"/>
  <c r="B148"/>
  <c r="C152"/>
  <c r="C154" s="1"/>
  <c r="C155" s="1"/>
  <c r="G174" l="1"/>
  <c r="G176" s="1"/>
  <c r="G152"/>
  <c r="G154" s="1"/>
  <c r="I157"/>
  <c r="I152" s="1"/>
  <c r="I154" s="1"/>
  <c r="G160"/>
  <c r="G161" s="1"/>
  <c r="H157"/>
  <c r="H158" s="1"/>
  <c r="H171" s="1"/>
  <c r="H17" i="9" s="1"/>
  <c r="I7"/>
  <c r="I174" i="1"/>
  <c r="I179" i="7"/>
  <c r="I182" s="1"/>
  <c r="I183" s="1"/>
  <c r="I177"/>
  <c r="H177"/>
  <c r="H179"/>
  <c r="H182" s="1"/>
  <c r="H183" s="1"/>
  <c r="E155"/>
  <c r="E171" s="1"/>
  <c r="E17" i="9" s="1"/>
  <c r="H159" i="21"/>
  <c r="H160" s="1"/>
  <c r="B157"/>
  <c r="A157" s="1"/>
  <c r="F157" i="7"/>
  <c r="F158" s="1"/>
  <c r="F160" s="1"/>
  <c r="F161" s="1"/>
  <c r="B18" i="9"/>
  <c r="H151" i="21"/>
  <c r="H153" s="1"/>
  <c r="B154"/>
  <c r="A154" s="1"/>
  <c r="C159"/>
  <c r="C150"/>
  <c r="D150"/>
  <c r="I151"/>
  <c r="I153" s="1"/>
  <c r="C151"/>
  <c r="C153" s="1"/>
  <c r="I159"/>
  <c r="I160" s="1"/>
  <c r="F179" i="7"/>
  <c r="F182" s="1"/>
  <c r="F183" s="1"/>
  <c r="F177"/>
  <c r="B149"/>
  <c r="D151" s="1"/>
  <c r="E152"/>
  <c r="E154" s="1"/>
  <c r="B172"/>
  <c r="E179"/>
  <c r="E182" s="1"/>
  <c r="E183" s="1"/>
  <c r="E177"/>
  <c r="D174"/>
  <c r="D176" s="1"/>
  <c r="D190" s="1"/>
  <c r="D28" i="9" s="1"/>
  <c r="D160" i="7"/>
  <c r="D161" s="1"/>
  <c r="D152"/>
  <c r="D154" s="1"/>
  <c r="C171"/>
  <c r="C160"/>
  <c r="G178" l="1"/>
  <c r="G181" s="1"/>
  <c r="I158"/>
  <c r="I160" s="1"/>
  <c r="I161" s="1"/>
  <c r="H160"/>
  <c r="H161" s="1"/>
  <c r="H152"/>
  <c r="H154" s="1"/>
  <c r="H174"/>
  <c r="H176" s="1"/>
  <c r="H19" i="9" s="1"/>
  <c r="I178" i="1"/>
  <c r="I181" s="1"/>
  <c r="I182" s="1"/>
  <c r="I176"/>
  <c r="B155" i="7"/>
  <c r="A155" s="1"/>
  <c r="E160"/>
  <c r="E161" s="1"/>
  <c r="F171"/>
  <c r="F174" s="1"/>
  <c r="F178" s="1"/>
  <c r="F181" s="1"/>
  <c r="E174"/>
  <c r="E178" s="1"/>
  <c r="E181" s="1"/>
  <c r="F152"/>
  <c r="F154" s="1"/>
  <c r="B150" i="21"/>
  <c r="A150" s="1"/>
  <c r="C160"/>
  <c r="B160" s="1"/>
  <c r="B191" s="1"/>
  <c r="V29" i="1" s="1"/>
  <c r="B159" i="21"/>
  <c r="C151" i="7"/>
  <c r="B151" s="1"/>
  <c r="A151" s="1"/>
  <c r="D19" i="9"/>
  <c r="D178" i="7"/>
  <c r="D181" s="1"/>
  <c r="D22" i="9" s="1"/>
  <c r="C17"/>
  <c r="C174" i="7"/>
  <c r="C161"/>
  <c r="G19" i="9"/>
  <c r="G190" i="7"/>
  <c r="G28" i="9" s="1"/>
  <c r="G20" l="1"/>
  <c r="H178" i="7"/>
  <c r="H181" s="1"/>
  <c r="H22" i="9" s="1"/>
  <c r="I171" i="7"/>
  <c r="I174" s="1"/>
  <c r="B158"/>
  <c r="A158" s="1"/>
  <c r="H190"/>
  <c r="H28" i="9" s="1"/>
  <c r="F176" i="7"/>
  <c r="F19" i="9" s="1"/>
  <c r="E20"/>
  <c r="F20"/>
  <c r="F17"/>
  <c r="E176" i="7"/>
  <c r="E19" i="9" s="1"/>
  <c r="D184" i="7"/>
  <c r="D23" i="9" s="1"/>
  <c r="D20"/>
  <c r="B161" i="7"/>
  <c r="B226" i="8" s="1"/>
  <c r="B160" i="7"/>
  <c r="G184"/>
  <c r="G22" i="9"/>
  <c r="F184" i="7"/>
  <c r="F22" i="9"/>
  <c r="C176" i="7"/>
  <c r="C178"/>
  <c r="E22" i="9"/>
  <c r="E184" i="7"/>
  <c r="H184" l="1"/>
  <c r="H196" s="1"/>
  <c r="H31" i="9" s="1"/>
  <c r="H20"/>
  <c r="I17"/>
  <c r="B17" s="1"/>
  <c r="B171" i="7"/>
  <c r="F190"/>
  <c r="F28" i="9" s="1"/>
  <c r="E190" i="7"/>
  <c r="E28" i="9" s="1"/>
  <c r="D196" i="7"/>
  <c r="D31" i="9" s="1"/>
  <c r="I178" i="7"/>
  <c r="I176"/>
  <c r="B176" s="1"/>
  <c r="B190" s="1"/>
  <c r="F23" i="9"/>
  <c r="F196" i="7"/>
  <c r="F31" i="9" s="1"/>
  <c r="E196" i="7"/>
  <c r="E31" i="9" s="1"/>
  <c r="E23"/>
  <c r="C181" i="7"/>
  <c r="C20" i="9"/>
  <c r="C19"/>
  <c r="C190" i="7"/>
  <c r="C28" i="9" s="1"/>
  <c r="G196" i="7"/>
  <c r="G31" i="9" s="1"/>
  <c r="G23"/>
  <c r="H23" l="1"/>
  <c r="I19"/>
  <c r="B19" s="1"/>
  <c r="I190" i="7"/>
  <c r="I181"/>
  <c r="B181" s="1"/>
  <c r="I20" i="9"/>
  <c r="C184" i="7"/>
  <c r="C22" i="9"/>
  <c r="I28" l="1"/>
  <c r="B28" s="1"/>
  <c r="I184" i="7"/>
  <c r="B184" s="1"/>
  <c r="B196" s="1"/>
  <c r="I22" i="9"/>
  <c r="B22" s="1"/>
  <c r="C23"/>
  <c r="C196" i="7"/>
  <c r="C31" i="9" s="1"/>
  <c r="I23" l="1"/>
  <c r="B23" s="1"/>
  <c r="I196" i="7"/>
  <c r="I31" i="9" l="1"/>
  <c r="B31" s="1"/>
  <c r="B92" i="1" l="1"/>
  <c r="A92" s="1"/>
  <c r="C121" l="1"/>
  <c r="B121" l="1"/>
  <c r="C122"/>
  <c r="D149" i="22" l="1"/>
  <c r="C138" i="1"/>
  <c r="C139" s="1"/>
  <c r="C140" s="1"/>
  <c r="C141" s="1"/>
  <c r="B122"/>
  <c r="A158" i="22" l="1"/>
  <c r="C149"/>
  <c r="B141" i="1"/>
  <c r="A141" s="1"/>
  <c r="D146"/>
  <c r="D145" s="1"/>
  <c r="C142"/>
  <c r="C143" s="1"/>
  <c r="C144" s="1"/>
  <c r="C146" s="1"/>
  <c r="D136" i="22"/>
  <c r="B146" i="1" l="1"/>
  <c r="A146" s="1"/>
  <c r="D137" i="22"/>
  <c r="C136"/>
  <c r="B145" i="1"/>
  <c r="A145" s="1"/>
  <c r="C147" l="1"/>
  <c r="D147"/>
  <c r="F147"/>
  <c r="I147"/>
  <c r="E147"/>
  <c r="D138" i="22"/>
  <c r="C138" s="1"/>
  <c r="C137"/>
  <c r="G147" i="1"/>
  <c r="H147"/>
  <c r="B147" l="1"/>
  <c r="G148" s="1"/>
  <c r="D148"/>
  <c r="C148"/>
  <c r="G149" l="1"/>
  <c r="G157" s="1"/>
  <c r="G158" s="1"/>
  <c r="G172"/>
  <c r="G171"/>
  <c r="D149"/>
  <c r="D157" s="1"/>
  <c r="D158" s="1"/>
  <c r="D171"/>
  <c r="D172"/>
  <c r="H148"/>
  <c r="F148"/>
  <c r="I148"/>
  <c r="I149" s="1"/>
  <c r="I155" s="1"/>
  <c r="E148"/>
  <c r="C149"/>
  <c r="C171"/>
  <c r="C172"/>
  <c r="C174" s="1"/>
  <c r="G155" l="1"/>
  <c r="G170" s="1"/>
  <c r="H149"/>
  <c r="H155" s="1"/>
  <c r="H172"/>
  <c r="H171"/>
  <c r="G7" i="9"/>
  <c r="G174" i="1"/>
  <c r="D155"/>
  <c r="D10" i="12" s="1"/>
  <c r="D11" s="1"/>
  <c r="D174" i="1"/>
  <c r="D7" i="9"/>
  <c r="F149" i="1"/>
  <c r="F157" s="1"/>
  <c r="F158" s="1"/>
  <c r="F171"/>
  <c r="F172"/>
  <c r="E149"/>
  <c r="E157" s="1"/>
  <c r="E158" s="1"/>
  <c r="E171"/>
  <c r="E172"/>
  <c r="B148"/>
  <c r="A148" s="1"/>
  <c r="I157"/>
  <c r="I158" s="1"/>
  <c r="I10" i="12" s="1"/>
  <c r="I11" s="1"/>
  <c r="D152" i="1"/>
  <c r="D154" s="1"/>
  <c r="C178"/>
  <c r="C181" s="1"/>
  <c r="C182" s="1"/>
  <c r="C176"/>
  <c r="C157"/>
  <c r="C158" s="1"/>
  <c r="C7" i="9"/>
  <c r="G152" i="1"/>
  <c r="G154" s="1"/>
  <c r="G10" i="12" l="1"/>
  <c r="G11" s="1"/>
  <c r="G14" s="1"/>
  <c r="G160" i="1"/>
  <c r="G161" s="1"/>
  <c r="G162" i="7" s="1"/>
  <c r="G163" s="1"/>
  <c r="H157" i="1"/>
  <c r="H158" s="1"/>
  <c r="H170" s="1"/>
  <c r="H6" i="9" s="1"/>
  <c r="G178" i="1"/>
  <c r="G181" s="1"/>
  <c r="G182" s="1"/>
  <c r="G176"/>
  <c r="H7" i="9"/>
  <c r="H174" i="1"/>
  <c r="E155"/>
  <c r="E170" s="1"/>
  <c r="E173" s="1"/>
  <c r="D170"/>
  <c r="D6" i="9" s="1"/>
  <c r="D160" i="1"/>
  <c r="D161" s="1"/>
  <c r="E151" i="22" s="1"/>
  <c r="E152" i="1"/>
  <c r="E154" s="1"/>
  <c r="D176"/>
  <c r="D178"/>
  <c r="D181" s="1"/>
  <c r="D182" s="1"/>
  <c r="B149"/>
  <c r="C151" s="1"/>
  <c r="B171"/>
  <c r="I170"/>
  <c r="I173" s="1"/>
  <c r="F152"/>
  <c r="F154" s="1"/>
  <c r="F155"/>
  <c r="F10" i="12" s="1"/>
  <c r="F11" s="1"/>
  <c r="F15" s="1"/>
  <c r="F16" s="1"/>
  <c r="F17" s="1"/>
  <c r="E174" i="1"/>
  <c r="E7" i="9"/>
  <c r="F7"/>
  <c r="F174" i="1"/>
  <c r="I160"/>
  <c r="I161" s="1"/>
  <c r="I162" i="7" s="1"/>
  <c r="I163" s="1"/>
  <c r="I152" i="1"/>
  <c r="I154" s="1"/>
  <c r="H160"/>
  <c r="H161" s="1"/>
  <c r="I151" i="22" s="1"/>
  <c r="I14" i="12"/>
  <c r="I15"/>
  <c r="I16" s="1"/>
  <c r="I17" s="1"/>
  <c r="I12"/>
  <c r="I13" s="1"/>
  <c r="C152" i="1"/>
  <c r="C154" s="1"/>
  <c r="C155" s="1"/>
  <c r="D15" i="12"/>
  <c r="D16" s="1"/>
  <c r="D17" s="1"/>
  <c r="D14"/>
  <c r="D12"/>
  <c r="D13" s="1"/>
  <c r="G6" i="9"/>
  <c r="G173" i="1"/>
  <c r="G15" i="12" l="1"/>
  <c r="G16" s="1"/>
  <c r="G17" s="1"/>
  <c r="H173" i="1"/>
  <c r="H175" s="1"/>
  <c r="H152"/>
  <c r="H154" s="1"/>
  <c r="H10" i="12"/>
  <c r="H11" s="1"/>
  <c r="H14" s="1"/>
  <c r="G12"/>
  <c r="G13" s="1"/>
  <c r="B158" i="1"/>
  <c r="A158" s="1"/>
  <c r="H151" i="22"/>
  <c r="H178" i="1"/>
  <c r="H181" s="1"/>
  <c r="H182" s="1"/>
  <c r="H176"/>
  <c r="D162" i="7"/>
  <c r="D163" s="1"/>
  <c r="E6" i="9"/>
  <c r="E160" i="1"/>
  <c r="E161" s="1"/>
  <c r="F151" i="22" s="1"/>
  <c r="E10" i="12"/>
  <c r="E11" s="1"/>
  <c r="E12" s="1"/>
  <c r="E13" s="1"/>
  <c r="D151" i="1"/>
  <c r="B151" s="1"/>
  <c r="A151" s="1"/>
  <c r="D173"/>
  <c r="D175" s="1"/>
  <c r="H162" i="7"/>
  <c r="H163" s="1"/>
  <c r="F14" i="12"/>
  <c r="I6" i="9"/>
  <c r="F170" i="1"/>
  <c r="F173" s="1"/>
  <c r="F177" s="1"/>
  <c r="F12" i="12"/>
  <c r="F13" s="1"/>
  <c r="F18" s="1"/>
  <c r="F19" s="1"/>
  <c r="F20" s="1"/>
  <c r="F21" s="1"/>
  <c r="F160" i="1"/>
  <c r="F161" s="1"/>
  <c r="F162" i="7" s="1"/>
  <c r="F163" s="1"/>
  <c r="B7" i="9"/>
  <c r="F178" i="1"/>
  <c r="F181" s="1"/>
  <c r="F182" s="1"/>
  <c r="F176"/>
  <c r="E176"/>
  <c r="E178"/>
  <c r="E181" s="1"/>
  <c r="E182" s="1"/>
  <c r="J151" i="22"/>
  <c r="I177" i="1"/>
  <c r="I175"/>
  <c r="I18" i="12"/>
  <c r="I19" s="1"/>
  <c r="I20" s="1"/>
  <c r="I21" s="1"/>
  <c r="C170" i="1"/>
  <c r="C10" i="12"/>
  <c r="C11" s="1"/>
  <c r="B155" i="1"/>
  <c r="A155" s="1"/>
  <c r="C160"/>
  <c r="G177"/>
  <c r="G175"/>
  <c r="E175"/>
  <c r="E177"/>
  <c r="D18" i="12"/>
  <c r="D19" s="1"/>
  <c r="D20" s="1"/>
  <c r="D21" s="1"/>
  <c r="H177" i="1" l="1"/>
  <c r="H180" s="1"/>
  <c r="G18" i="12"/>
  <c r="G19" s="1"/>
  <c r="G20" s="1"/>
  <c r="G21" s="1"/>
  <c r="H12"/>
  <c r="H13" s="1"/>
  <c r="H15"/>
  <c r="H16" s="1"/>
  <c r="H17" s="1"/>
  <c r="E162" i="7"/>
  <c r="E163" s="1"/>
  <c r="D177" i="1"/>
  <c r="D9" i="9" s="1"/>
  <c r="E14" i="12"/>
  <c r="E15" s="1"/>
  <c r="E16" s="1"/>
  <c r="E17" s="1"/>
  <c r="E18" s="1"/>
  <c r="E19" s="1"/>
  <c r="E20" s="1"/>
  <c r="E21" s="1"/>
  <c r="G151" i="22"/>
  <c r="A157" s="1"/>
  <c r="F6" i="9"/>
  <c r="F175" i="1"/>
  <c r="F8" i="9" s="1"/>
  <c r="G8"/>
  <c r="G189" i="7"/>
  <c r="H189"/>
  <c r="H8" i="9"/>
  <c r="C173" i="1"/>
  <c r="C6" i="9"/>
  <c r="B170" i="1"/>
  <c r="I9" i="9"/>
  <c r="I180" i="1"/>
  <c r="E189" i="7"/>
  <c r="E8" i="9"/>
  <c r="F180" i="1"/>
  <c r="F9" i="9"/>
  <c r="C14" i="12"/>
  <c r="C15" s="1"/>
  <c r="C16" s="1"/>
  <c r="C17" s="1"/>
  <c r="C12"/>
  <c r="C13" s="1"/>
  <c r="I8" i="9"/>
  <c r="I189" i="7"/>
  <c r="E9" i="9"/>
  <c r="E180" i="1"/>
  <c r="D8" i="9"/>
  <c r="D189" i="7"/>
  <c r="G180" i="1"/>
  <c r="G9" i="9"/>
  <c r="C161" i="1"/>
  <c r="B160"/>
  <c r="H9" i="9" l="1"/>
  <c r="D180" i="1"/>
  <c r="D11" i="9" s="1"/>
  <c r="H18" i="12"/>
  <c r="H19" s="1"/>
  <c r="H20" s="1"/>
  <c r="H21" s="1"/>
  <c r="F189" i="7"/>
  <c r="F27" i="9" s="1"/>
  <c r="B6"/>
  <c r="D151" i="22"/>
  <c r="C162" i="7"/>
  <c r="C163" s="1"/>
  <c r="B161" i="1"/>
  <c r="D27" i="9"/>
  <c r="D191" i="7"/>
  <c r="D192" s="1"/>
  <c r="D193" s="1"/>
  <c r="I27" i="9"/>
  <c r="I191" i="7"/>
  <c r="I192" s="1"/>
  <c r="I193" s="1"/>
  <c r="H191"/>
  <c r="H192" s="1"/>
  <c r="H193" s="1"/>
  <c r="H27" i="9"/>
  <c r="G11"/>
  <c r="G183" i="1"/>
  <c r="F11" i="9"/>
  <c r="F183" i="1"/>
  <c r="G191" i="7"/>
  <c r="G192" s="1"/>
  <c r="G193" s="1"/>
  <c r="G27" i="9"/>
  <c r="E11"/>
  <c r="E183" i="1"/>
  <c r="I183"/>
  <c r="I11" i="9"/>
  <c r="C175" i="1"/>
  <c r="C177"/>
  <c r="C18" i="12"/>
  <c r="C19" s="1"/>
  <c r="C20" s="1"/>
  <c r="C21" s="1"/>
  <c r="B21" s="1"/>
  <c r="B24" s="1"/>
  <c r="D183" i="1"/>
  <c r="H183"/>
  <c r="H11" i="9"/>
  <c r="E191" i="7"/>
  <c r="E192" s="1"/>
  <c r="E193" s="1"/>
  <c r="E27" i="9"/>
  <c r="F191" i="7" l="1"/>
  <c r="F192" s="1"/>
  <c r="F193" s="1"/>
  <c r="D12" i="9"/>
  <c r="D195" i="7"/>
  <c r="C180" i="1"/>
  <c r="C9" i="9"/>
  <c r="E12"/>
  <c r="E195" i="7"/>
  <c r="F195"/>
  <c r="F12" i="9"/>
  <c r="A151" i="22"/>
  <c r="C151"/>
  <c r="I195" i="7"/>
  <c r="I12" i="9"/>
  <c r="H12"/>
  <c r="H195" i="7"/>
  <c r="G12" i="9"/>
  <c r="G195" i="7"/>
  <c r="L57" i="1"/>
  <c r="B229" i="15"/>
  <c r="B162" i="7"/>
  <c r="B163" s="1"/>
  <c r="K56" i="1"/>
  <c r="B235" i="6"/>
  <c r="C235"/>
  <c r="C8" i="9"/>
  <c r="B8" s="1"/>
  <c r="C189" i="7"/>
  <c r="B175" i="1"/>
  <c r="B189" i="7" s="1"/>
  <c r="B191" s="1"/>
  <c r="B192" s="1"/>
  <c r="H198" l="1"/>
  <c r="H199" s="1"/>
  <c r="H32" i="9" s="1"/>
  <c r="H197" i="7"/>
  <c r="H194" s="1"/>
  <c r="H29" i="9" s="1"/>
  <c r="H30"/>
  <c r="A153" i="22"/>
  <c r="C153" s="1"/>
  <c r="C152"/>
  <c r="B168" s="1"/>
  <c r="B159"/>
  <c r="E198" i="7"/>
  <c r="E199" s="1"/>
  <c r="E32" i="9" s="1"/>
  <c r="E197" i="7"/>
  <c r="E194" s="1"/>
  <c r="E29" i="9" s="1"/>
  <c r="E30"/>
  <c r="D198" i="7"/>
  <c r="D199" s="1"/>
  <c r="D32" i="9" s="1"/>
  <c r="D197" i="7"/>
  <c r="D194" s="1"/>
  <c r="D29" i="9" s="1"/>
  <c r="D30"/>
  <c r="I30"/>
  <c r="I197" i="7"/>
  <c r="I194" s="1"/>
  <c r="I29" i="9" s="1"/>
  <c r="I198" i="7"/>
  <c r="I199" s="1"/>
  <c r="I32" i="9" s="1"/>
  <c r="F197" i="7"/>
  <c r="F194" s="1"/>
  <c r="F29" i="9" s="1"/>
  <c r="F30"/>
  <c r="F198" i="7"/>
  <c r="F199" s="1"/>
  <c r="F32" i="9" s="1"/>
  <c r="B180" i="1"/>
  <c r="C183"/>
  <c r="C11" i="9"/>
  <c r="B11" s="1"/>
  <c r="C191" i="7"/>
  <c r="C192" s="1"/>
  <c r="C193" s="1"/>
  <c r="C27" i="9"/>
  <c r="B27" s="1"/>
  <c r="G197" i="7"/>
  <c r="G194" s="1"/>
  <c r="G29" i="9" s="1"/>
  <c r="G198" i="7"/>
  <c r="G199" s="1"/>
  <c r="G32" i="9" s="1"/>
  <c r="G30"/>
  <c r="B152" i="22" l="1"/>
  <c r="A152"/>
  <c r="C195" i="7"/>
  <c r="C12" i="9"/>
  <c r="B12" s="1"/>
  <c r="B183" i="1"/>
  <c r="B195" i="7" s="1"/>
  <c r="B197" s="1"/>
  <c r="C198" l="1"/>
  <c r="C199" s="1"/>
  <c r="C30" i="9"/>
  <c r="B30" s="1"/>
  <c r="C197" i="7"/>
  <c r="C194" s="1"/>
  <c r="C32" i="9" l="1"/>
  <c r="B32" s="1"/>
  <c r="B199" i="7"/>
  <c r="C29" i="9"/>
  <c r="B29" s="1"/>
  <c r="B194" i="7"/>
  <c r="A203" i="21" l="1"/>
  <c r="A205" l="1"/>
  <c r="B179" s="1"/>
  <c r="C179"/>
  <c r="W17" i="1" s="1"/>
  <c r="V17" l="1"/>
  <c r="B180" i="21"/>
  <c r="V18" i="1" l="1"/>
  <c r="B182" i="21"/>
  <c r="E188"/>
  <c r="Y26" i="1" s="1"/>
  <c r="B187" i="21"/>
  <c r="V25" i="1" s="1"/>
  <c r="D188" i="21" l="1"/>
  <c r="V20" i="1"/>
  <c r="B184" i="21"/>
  <c r="X26" i="1" l="1"/>
  <c r="C188" i="21"/>
  <c r="V22" i="1"/>
  <c r="W26" l="1"/>
  <c r="B188" i="21"/>
  <c r="B189" l="1"/>
  <c r="V26" i="1"/>
  <c r="B190" i="21" l="1"/>
  <c r="V27" i="1"/>
  <c r="B192" i="21" l="1"/>
  <c r="V28" i="1"/>
  <c r="A192" i="21"/>
  <c r="U30" i="1" s="1"/>
  <c r="D193" i="21" l="1"/>
  <c r="C193"/>
  <c r="V30" i="1"/>
  <c r="B193" i="21"/>
  <c r="X37" i="1" l="1"/>
  <c r="X31"/>
  <c r="V37"/>
  <c r="B165" i="22" s="1"/>
  <c r="B241" i="6"/>
  <c r="V31" i="1"/>
  <c r="C241" i="6"/>
  <c r="W31" i="1"/>
  <c r="G235" i="6" l="1"/>
  <c r="G159" i="22"/>
</calcChain>
</file>

<file path=xl/comments1.xml><?xml version="1.0" encoding="utf-8"?>
<comments xmlns="http://schemas.openxmlformats.org/spreadsheetml/2006/main">
  <authors>
    <author/>
    <author>Horst</author>
    <author>Michael</author>
    <author>User</author>
  </authors>
  <commentList>
    <comment ref="A31" authorId="0">
      <text>
        <r>
          <rPr>
            <b/>
            <sz val="9"/>
            <color rgb="FF000000"/>
            <rFont val="Tahoma"/>
            <family val="2"/>
            <charset val="1"/>
          </rPr>
          <t xml:space="preserve">Pauschale 1 bei:
</t>
        </r>
        <r>
          <rPr>
            <sz val="9"/>
            <color rgb="FF000000"/>
            <rFont val="Tahoma"/>
            <family val="2"/>
            <charset val="1"/>
          </rPr>
          <t xml:space="preserve">Krebs (bösartiger Tumor), HIV-Infektion / AIDS, Multiple Sklerose, Colitis ulcerosa, Morbus Crohn, Nierensuffizienz
</t>
        </r>
        <r>
          <rPr>
            <b/>
            <sz val="9"/>
            <color rgb="FF000000"/>
            <rFont val="Tahoma"/>
            <family val="2"/>
            <charset val="1"/>
          </rPr>
          <t xml:space="preserve">
Pauschale 2 bei:
</t>
        </r>
        <r>
          <rPr>
            <sz val="9"/>
            <color rgb="FF000000"/>
            <rFont val="Tahoma"/>
            <family val="2"/>
            <charset val="1"/>
          </rPr>
          <t>Nierensuffizienz mit Hämodialysebehandlung, Zöliakie / Sprue (Durchfallerkrankung bedingt durch Überempflindlichkeit gegenüber Klebereiweiß)</t>
        </r>
      </text>
    </comment>
    <comment ref="A69" authorId="1">
      <text>
        <r>
          <rPr>
            <sz val="9"/>
            <color indexed="81"/>
            <rFont val="Tahoma"/>
            <family val="2"/>
          </rPr>
          <t xml:space="preserve">Bitte Krankenversicherung und Pflegeversicherung hier nur eintragen, soweit die Beträge nicht bereits im Nettoeinkommen Zeile 64 berücksichtigt sind.
</t>
        </r>
      </text>
    </comment>
    <comment ref="A70" authorId="1">
      <text>
        <r>
          <rPr>
            <b/>
            <sz val="9"/>
            <color indexed="81"/>
            <rFont val="Tahoma"/>
            <family val="2"/>
          </rPr>
          <t xml:space="preserve">Bitte bei privater KV nur die Beträge angeben, die von der privaten KV als gleichartig zu den gesetzlichen KV-Leistungen bescheinigt worden sind!
</t>
        </r>
        <r>
          <rPr>
            <sz val="9"/>
            <color indexed="81"/>
            <rFont val="Tahoma"/>
            <family val="2"/>
          </rPr>
          <t xml:space="preserve">
</t>
        </r>
      </text>
    </comment>
    <comment ref="A74" authorId="2">
      <text>
        <r>
          <rPr>
            <sz val="9"/>
            <color indexed="81"/>
            <rFont val="Tahoma"/>
            <family val="2"/>
          </rPr>
          <t xml:space="preserve">Aufwendungen für angemessene Versicherungen, die die Altersvorsorge der Mitglieder der BG sichern, </t>
        </r>
        <r>
          <rPr>
            <b/>
            <sz val="9"/>
            <color indexed="81"/>
            <rFont val="Tahoma"/>
            <family val="2"/>
          </rPr>
          <t>die von der gesetzlichen Rentenversicherung befreit sind</t>
        </r>
        <r>
          <rPr>
            <sz val="9"/>
            <color indexed="81"/>
            <rFont val="Tahoma"/>
            <family val="2"/>
          </rPr>
          <t xml:space="preserve">. Hierzu gehören z. B. private Lebens- und Rentenversicherungen.
Beiträge zur privaten Altersvorsorge sind auf Ihre Angemessenheit zu prüfen. Sachgerecht ist dabei ein Vergleich mit den Beiträgen, die bei bestehender Rentenversicherungspflicht zu zahlen wären. Für die Berechnung des angemessenen Beitrages ist von dem vollständigen Beitrag zur gesetzlichen Rentenversicherung auszugehen (zurzeit 18,7 Prozent); der Mindestbeitrag in der gesetzlichen RV von aktuell 84,15 € ist in jedem Fall (auch bei Einnahmen unter 450,00 €) anzuerkennen.
Angemessene Beiträge zu einer privaten Altersvorsorge sind insbesondere auch vom Einkommen aus selbständiger Tätigkeit abzusetzen, wenn für die selbständig erwerbstätige Person keine Versicherungspflicht in der gesetzlichen RV besteht.
Beiträge zu einer Zusatzversorgungskasse sind hier ebenfalls absetzbar.
</t>
        </r>
      </text>
    </comment>
    <comment ref="A75" authorId="0">
      <text>
        <r>
          <rPr>
            <sz val="10"/>
            <color rgb="FF000000"/>
            <rFont val="Arial"/>
            <family val="2"/>
            <charset val="1"/>
          </rPr>
          <t>Bei einer 5-Tage-Woche sind 21 Arbeitstage normal</t>
        </r>
      </text>
    </comment>
    <comment ref="A77" authorId="0">
      <text>
        <r>
          <rPr>
            <sz val="10"/>
            <color rgb="FF000000"/>
            <rFont val="Arial"/>
            <family val="2"/>
            <charset val="1"/>
          </rPr>
          <t xml:space="preserve">einfache Wegstrecke in km
</t>
        </r>
      </text>
    </comment>
    <comment ref="A78" authorId="0">
      <text>
        <r>
          <rPr>
            <b/>
            <sz val="9"/>
            <color rgb="FF000000"/>
            <rFont val="Tahoma"/>
            <family val="2"/>
            <charset val="1"/>
          </rPr>
          <t xml:space="preserve">Kfz.-Haftpflicht
Berufshaftpflicht etc.
</t>
        </r>
      </text>
    </comment>
    <comment ref="A79" authorId="0">
      <text>
        <r>
          <rPr>
            <b/>
            <sz val="9"/>
            <color rgb="FF000000"/>
            <rFont val="Tahoma"/>
            <family val="2"/>
            <charset val="1"/>
          </rPr>
          <t xml:space="preserve">z.B. Hausratversicherung,
private Haftpflicht
</t>
        </r>
        <r>
          <rPr>
            <sz val="9"/>
            <color rgb="FF000000"/>
            <rFont val="Tahoma"/>
            <family val="2"/>
            <charset val="1"/>
          </rPr>
          <t xml:space="preserve">
</t>
        </r>
      </text>
    </comment>
    <comment ref="A100" authorId="3">
      <text>
        <r>
          <rPr>
            <b/>
            <sz val="9"/>
            <color indexed="81"/>
            <rFont val="Tahoma"/>
            <family val="2"/>
          </rPr>
          <t xml:space="preserve">Der Unterhaltsvorschuss beträgt ab 2017 (in Klammer 2016) :
- 150 € (145 €) für Kinder bis fünf Jahre
- 201 € (194 €) für die 6- bis 11-Jährigen
- 268 €             für die 12- bis 17-Jährigen (ab 01.07.2017) </t>
        </r>
        <r>
          <rPr>
            <sz val="9"/>
            <color indexed="81"/>
            <rFont val="Tahoma"/>
            <family val="2"/>
          </rPr>
          <t xml:space="preserve">
</t>
        </r>
      </text>
    </comment>
  </commentList>
</comments>
</file>

<file path=xl/comments2.xml><?xml version="1.0" encoding="utf-8"?>
<comments xmlns="http://schemas.openxmlformats.org/spreadsheetml/2006/main">
  <authors>
    <author>Michael</author>
    <author>ME</author>
    <author/>
  </authors>
  <commentList>
    <comment ref="A6" authorId="0">
      <text>
        <r>
          <rPr>
            <sz val="9"/>
            <color indexed="81"/>
            <rFont val="Tahoma"/>
            <family val="2"/>
          </rPr>
          <t xml:space="preserve">Zur Bedarfsgemeinschaft gehört die Partnerin oder der Partner sowie die dem Haushalt angehörenden unverheirateten Kinder, wenn sie das 25. Lebensjahr noch nicht vollendet haben, soweit sie die Leistungen zur Sicherung ihres Lebensunterhalts nicht aus eigenem Einkommen oder Vermögen beschaffen können. Ferner gehören zur BG die im Haushalt lebenden Eltern oder ein Elternteil eines unverheirateten erwerbsfähigen Kindes, welches das 25. Lebensjahr noch nicht vollendet hat und der/die im Haushalt lebende Partner/in dieses Elternteils.
</t>
        </r>
        <r>
          <rPr>
            <b/>
            <sz val="9"/>
            <color indexed="81"/>
            <rFont val="Tahoma"/>
            <family val="2"/>
          </rPr>
          <t>Die Anzahl wird automatisch ermittelt.</t>
        </r>
      </text>
    </comment>
    <comment ref="A7" authorId="0">
      <text>
        <r>
          <rPr>
            <sz val="9"/>
            <color indexed="81"/>
            <rFont val="Tahoma"/>
            <family val="2"/>
          </rPr>
          <t xml:space="preserve">zur Ermittlung des Erwerbstätigenfreibetrages
</t>
        </r>
      </text>
    </comment>
    <comment ref="A35" authorId="0">
      <text>
        <r>
          <rPr>
            <sz val="9"/>
            <color indexed="81"/>
            <rFont val="Tahoma"/>
            <family val="2"/>
          </rPr>
          <t>Die Anspruchsberechtigung entfällt, sofern ein Tatbestand des § 7 Abs. 4 bis 5 SGB II zutrifft, z.B. Altersrentner, Studenten</t>
        </r>
      </text>
    </comment>
    <comment ref="A37" authorId="0">
      <text>
        <r>
          <rPr>
            <sz val="9"/>
            <color indexed="81"/>
            <rFont val="Tahoma"/>
            <family val="2"/>
          </rPr>
          <t xml:space="preserve">werdende Mütter erhalten ab der 13. Schwangerschaftswoche einen Zuschlag von 17 % ihres Regelbedarfes
</t>
        </r>
      </text>
    </comment>
    <comment ref="A46" authorId="0">
      <text>
        <r>
          <rPr>
            <sz val="9"/>
            <color indexed="81"/>
            <rFont val="Tahoma"/>
            <family val="2"/>
          </rPr>
          <t xml:space="preserve">bei einem Kind unter 7 Jahren oder 2 oder 3 Kindern unter 16 Jahren = 36 % des RB, ansonsten 12 % für jedes minderjährige Kind, max. 60 % des RB
</t>
        </r>
      </text>
    </comment>
    <comment ref="A91" authorId="0">
      <text>
        <r>
          <rPr>
            <sz val="9"/>
            <color indexed="81"/>
            <rFont val="Tahoma"/>
            <family val="2"/>
          </rPr>
          <t xml:space="preserve">für </t>
        </r>
        <r>
          <rPr>
            <b/>
            <sz val="9"/>
            <color indexed="81"/>
            <rFont val="Tahoma"/>
            <family val="2"/>
          </rPr>
          <t>erwerbsfähige</t>
        </r>
        <r>
          <rPr>
            <sz val="9"/>
            <color indexed="81"/>
            <rFont val="Tahoma"/>
            <family val="2"/>
          </rPr>
          <t xml:space="preserve"> behinderte Leistungsberechtigte, die Leistungen zur Teilhabe am Arbeitsleben erhalten, in Höhe von 35 % des maßgebenden Regelbedarfes
</t>
        </r>
      </text>
    </comment>
    <comment ref="A93" authorId="1">
      <text>
        <r>
          <rPr>
            <sz val="9"/>
            <color indexed="81"/>
            <rFont val="Tahoma"/>
            <family val="2"/>
          </rPr>
          <t>mögliche Mehrbedarfe:
siehe Bedarfssätze</t>
        </r>
      </text>
    </comment>
    <comment ref="A99" authorId="0">
      <text>
        <r>
          <rPr>
            <sz val="9"/>
            <color indexed="81"/>
            <rFont val="Tahoma"/>
            <family val="2"/>
          </rPr>
          <t>für erwerbsunfähige Sozialgeldbezieher ab 15 Jahren mit Schwerbehindertenausweis mit Merkzeichen G in Höhe von 17 % des RB.</t>
        </r>
      </text>
    </comment>
    <comment ref="A104" authorId="0">
      <text>
        <r>
          <rPr>
            <sz val="9"/>
            <color indexed="81"/>
            <rFont val="Tahoma"/>
            <family val="2"/>
          </rPr>
          <t>z.B. für Garage oder Möblierung</t>
        </r>
      </text>
    </comment>
    <comment ref="A122" authorId="2">
      <text>
        <r>
          <rPr>
            <sz val="10"/>
            <color rgb="FF000000"/>
            <rFont val="Arial"/>
            <family val="2"/>
          </rPr>
          <t>Bei einer 5-Tage-Woche sind 19 Arbeitstage pro Monat anzuerkennen. Umfasst die Arbeitswoche mehr oder weniger Tage, sind die 19 Arbeitstage entsprechend zu erhöhen oder zu mindern:
6-Tage-Woche = 23 Tage
5-Tage-Woche = 19 Tage
4-Tage-Woche = 15 Tage
3-Tage-Woche = 11 Tage
2-Tage-Woche =   8 Tage
1-Tage-Woche =   4 Tage</t>
        </r>
      </text>
    </comment>
    <comment ref="A123" authorId="2">
      <text>
        <r>
          <rPr>
            <sz val="10"/>
            <color rgb="FF000000"/>
            <rFont val="Arial"/>
            <family val="2"/>
          </rPr>
          <t>Ist eine erwerbsfähige leistungsberechtigte Person im Rahmen einer Erwerbstätigkeit von ihrer Wohnung abwesend, ohne dass eine doppelte Haushaltsführung vorliegt, ist für Mehraufwendungen für Verpflegung für jeden Kalendertag, an dem die Person wegen dieser vorübergehenden Tätigkeit von ihrer Wohnung und dem Tätigkeitsmittelpunkt mindestens zwölf Stunden abwesend ist, ein Pauschbetrag in Höhe von 6 EUR abzusetzen.</t>
        </r>
      </text>
    </comment>
    <comment ref="A125" authorId="2">
      <text>
        <r>
          <rPr>
            <sz val="10"/>
            <color rgb="FF000000"/>
            <rFont val="Arial"/>
            <family val="2"/>
          </rPr>
          <t xml:space="preserve">
bei allen Formen der Erwerbstätigkeit sind bei Benutzung eines Kraftfahrzeugs für die Fahrt zwischen Wohnung und Arbeitsstätte 0,20 EUR für jeden Entfernungskilometer der kürzesten Straßenverbindung als Kilometerpauschale abzusetzen.
Es ist deshalb die Entfernung in km einzutragen.
</t>
        </r>
      </text>
    </comment>
    <comment ref="A128" authorId="0">
      <text>
        <r>
          <rPr>
            <sz val="9"/>
            <color indexed="81"/>
            <rFont val="Tahoma"/>
            <family val="2"/>
          </rPr>
          <t xml:space="preserve">einschließlich Auslöse (Verpflegungsmehraufwendungen)
</t>
        </r>
        <r>
          <rPr>
            <b/>
            <sz val="9"/>
            <color indexed="81"/>
            <rFont val="Tahoma"/>
            <family val="2"/>
          </rPr>
          <t xml:space="preserve">
ohne VWL AG-Anteil</t>
        </r>
        <r>
          <rPr>
            <sz val="9"/>
            <color indexed="81"/>
            <rFont val="Tahoma"/>
            <family val="2"/>
          </rPr>
          <t xml:space="preserve">
</t>
        </r>
      </text>
    </comment>
    <comment ref="A129" authorId="0">
      <text>
        <r>
          <rPr>
            <sz val="9"/>
            <color indexed="81"/>
            <rFont val="Tahoma"/>
            <family val="2"/>
          </rPr>
          <t xml:space="preserve">Vom Arbeitgeber bereitgestellte Vollverpflegung ist pro Arbeitstag pauschal in Höhe von 1 Prozent des nach § 20 maßgebenden monatlichen Regelbedarfs als Einkommen zu berücksichtigen. Wird Teilverpflegung bereitgestellt, entfallen auf das Frühstück ein Anteil von 20 Prozent und auf das Mittag- und Abendessen Anteile von je 40 Prozent (§ 2 Abs. 5 Alg II-V).
Für die Berücksichtigung als Einkommen ist die Bereitstellung der Verpflegung ausreichend. Es kommt nicht darauf an, ob die bereit-gestellte Verpflegung auch tatsächlich in Anspruch genommen wird.
</t>
        </r>
        <r>
          <rPr>
            <b/>
            <sz val="9"/>
            <color indexed="81"/>
            <rFont val="Tahoma"/>
            <family val="2"/>
          </rPr>
          <t xml:space="preserve">Arbeitstage im Monat eingeben!
</t>
        </r>
      </text>
    </comment>
    <comment ref="A138" authorId="0">
      <text>
        <r>
          <rPr>
            <sz val="9"/>
            <color indexed="81"/>
            <rFont val="Tahoma"/>
            <family val="2"/>
          </rPr>
          <t>Erhält eine leistungsberechtigte Person mindestens aus einer Tätigkeit steuerfreie Einnahmen nach § 3 Nummer 12, 26, 26a oder 26b EStG (z. B. Übungsleiter, Ausbilder, Erzieher, Betreuer, Tätigkeit im gemeinnützigen, mildtätigen oder kirchlichen Bereich) ist an Stelle der Beträge nach § 11b Absatz 1 Satz 1 Nr. 3 – 5 ein Betrag von bis zu 200 EUR abzusetzen. Höhere Aufwendungen können abgesetzt werden, wenn die Einnahmen einen Betrag von 200 EUR übersteigen und die Aufwendungen nachgewiesen werden.</t>
        </r>
      </text>
    </comment>
    <comment ref="A143" authorId="1">
      <text>
        <r>
          <rPr>
            <sz val="9"/>
            <color indexed="81"/>
            <rFont val="Tahoma"/>
            <family val="2"/>
          </rPr>
          <t>Als notwendige Aufwendungen zur Erzielung, Sicherung und Erhaltung der Einnahmen können z.B. nachfolgend aufgeführte Ausgaben in dem unabwendbar notwendigen Umfang berücksichtigt werden:
•doppelte Haushaltsführung
•Beiträge zu Berufsverbänden und Gewerkschaften
•Aufwendungen des Arbeitnehmers für Arbeitsmaterial, Berufskleidung, Arbeitsmittel
•Fachliteratur
•Fortbildung
•IT/Telefon
•Reisekosten
•Umzugskosten
•Unfallkosten
Die Werbungskosten sind nur bei der Person abzusetzen, die das Erwerbseinkommen erzielt.</t>
        </r>
      </text>
    </comment>
    <comment ref="A166" authorId="0">
      <text>
        <r>
          <rPr>
            <sz val="9"/>
            <color indexed="81"/>
            <rFont val="Tahoma"/>
            <family val="2"/>
          </rPr>
          <t>anstatt des ausgewiesenen Sachbezugwertes für Verpflegung ist der Wert gemäß § 4 Satz 2 Nr. 4 i. V. m. § 2 Abs. 5 Alg II-V anzusetzen</t>
        </r>
      </text>
    </comment>
    <comment ref="A180" authorId="1">
      <text>
        <r>
          <rPr>
            <sz val="9"/>
            <color indexed="81"/>
            <rFont val="Tahoma"/>
            <family val="2"/>
          </rPr>
          <t>Die Einnahme ist in</t>
        </r>
        <r>
          <rPr>
            <b/>
            <sz val="9"/>
            <color indexed="81"/>
            <rFont val="Tahoma"/>
            <family val="2"/>
          </rPr>
          <t xml:space="preserve"> voller</t>
        </r>
        <r>
          <rPr>
            <sz val="9"/>
            <color indexed="81"/>
            <rFont val="Tahoma"/>
            <family val="2"/>
          </rPr>
          <t xml:space="preserve"> Höhe anzusetzen; Ausnahme: Kinderbetreuungszuschlag (BAföG) bzw. Kinderbetreuungskosten (BAB)</t>
        </r>
      </text>
    </comment>
    <comment ref="A181" authorId="1">
      <text>
        <r>
          <rPr>
            <sz val="9"/>
            <color indexed="81"/>
            <rFont val="Tahoma"/>
            <family val="2"/>
          </rPr>
          <t>sofern nicht bereits bei Ausbildungsvergütung eingetragen</t>
        </r>
      </text>
    </comment>
    <comment ref="A186" authorId="1">
      <text>
        <r>
          <rPr>
            <sz val="9"/>
            <color indexed="81"/>
            <rFont val="Tahoma"/>
            <family val="2"/>
          </rPr>
          <t>sofern nicht bereits bei Ausbildungsvergütung berücksichtigt</t>
        </r>
      </text>
    </comment>
    <comment ref="A192" authorId="0">
      <text>
        <r>
          <rPr>
            <sz val="9"/>
            <color indexed="81"/>
            <rFont val="Tahoma"/>
            <family val="2"/>
          </rPr>
          <t>Das Kindergeld beträgt ab 2017 (in Klammer 2016):
- 192 € (190 €) für das erste und zweite Kind
- 198 € (196 €) für das dritte Kind
- 223 € (221 €) ab dem vierten Kind
Ein den Bedarf des Kindes übersteigender Betrag (z. B. durch das Zusammentreffen mit Unterhaltsleistungen und/oder weiterem eigenen Einkommen) ist dem Kindergeldberechtigten als Einkommen zuzuordnen.</t>
        </r>
      </text>
    </comment>
    <comment ref="A194" authorId="0">
      <text>
        <r>
          <rPr>
            <sz val="9"/>
            <color indexed="81"/>
            <rFont val="Tahoma"/>
            <family val="2"/>
          </rPr>
          <t>Der Unterhaltsvorschuss beträgt ab 2017 (in Klammer 2016) :
- 150 € (145 €) für Kinder bis fünf Jahre
- 201 € (194 €) für die 6- bis 11-Jährigen
- 268 €            für die 12- bis 17-Jährigen</t>
        </r>
      </text>
    </comment>
    <comment ref="A203" authorId="0">
      <text>
        <r>
          <rPr>
            <sz val="9"/>
            <color indexed="81"/>
            <rFont val="Tahoma"/>
            <family val="2"/>
          </rPr>
          <t>Vom Einkommen eines jeden volljährigen Mitglieds einer Bedarfsgemeinschaft werden für angemessene private Versicherungen pauschal 30 € monatlich abgesetzt. Die Pauschale kann auch vom Kindergeld des 18- bis 24-jährigen Kindes abgesetzt werden. Auch auf Nachweis können keine höheren Beiträge berücksichtigt werden.
Vom Einkommen minderjähriger Hilfebedürftiger ist die Pauschale nur abzusetzen, wenn diese eine entsprechende Versicherung abgeschlossen haben</t>
        </r>
      </text>
    </comment>
    <comment ref="A204" authorId="0">
      <text>
        <r>
          <rPr>
            <sz val="9"/>
            <color indexed="81"/>
            <rFont val="Tahoma"/>
            <family val="2"/>
          </rPr>
          <t>Grundsätzlich sind die Beiträge für gesetzlich vorgeschriebene Versicherungen beim Einkommen der Person in Abzug zu bringen, die es erzielt; Versicherungsnehmer (bei gesetzlich vorgeschriebenen Versicherungen) kann auch eine andere Person in der Bedarfsgemeinschaft sein. Übersteigen die Absetzungsbeträge das Einkommen, können Restbeträge auch vom Einkommen anderer volljähriger Mitglieder der Bedarfsgemeinschaft abgesetzt werden</t>
        </r>
      </text>
    </comment>
    <comment ref="A205" authorId="0">
      <text>
        <r>
          <rPr>
            <sz val="9"/>
            <color indexed="81"/>
            <rFont val="Tahoma"/>
            <family val="2"/>
          </rPr>
          <t xml:space="preserve">Aufwendungen für angemessene Versicherungen, die die Altersvorsorge der Mitglieder der BG sichern, </t>
        </r>
        <r>
          <rPr>
            <b/>
            <sz val="9"/>
            <color indexed="81"/>
            <rFont val="Tahoma"/>
            <family val="2"/>
          </rPr>
          <t>die von der gesetzlichen Rentenversicherung befreit sind</t>
        </r>
        <r>
          <rPr>
            <sz val="9"/>
            <color indexed="81"/>
            <rFont val="Tahoma"/>
            <family val="2"/>
          </rPr>
          <t xml:space="preserve">. Hierzu gehören z. B. private Lebens- und Rentenversicherungen.
Beiträge zur privaten Altersvorsorge sind auf Ihre Angemessenheit zu prüfen. Sachgerecht ist dabei ein Vergleich mit den Beiträgen, die bei bestehender Rentenversicherungspflicht zu zahlen wären. Für die Berechnung des angemessenen Beitrages ist von dem vollständigen Beitrag zur gesetzlichen Rentenversicherung auszugehen (zurzeit 18,7 Prozent); der Mindestbeitrag in der gesetzlichen RV von aktuell 84,15 € ist in jedem Fall (auch bei Einnahmen unter 450,00 €) anzuerkennen.
Angemessene Beiträge zu einer privaten Altersvorsorge sind insbesondere auch vom Einkommen aus selbständiger Tätigkeit abzusetzen, wenn für die selbständig erwerbstätige Person keine Versicherungspflicht in der gesetzlichen RV besteht.
Beiträge zu einer Zusatzversorgungskasse sind hier ebenfalls absetzbar.
</t>
        </r>
      </text>
    </comment>
    <comment ref="A219" authorId="0">
      <text>
        <r>
          <rPr>
            <sz val="9"/>
            <color indexed="81"/>
            <rFont val="Tahoma"/>
            <family val="2"/>
          </rPr>
          <t>Aufwendungen zur Erfüllung gesetzlicher Unterhaltsverpflichtungen stehen bis zu dem in einem Unterhaltstitel oder in einer notariell beurkundeten Unterhaltsvereinbarung festgelegten Betrag den Betroffenen nicht als bereites Einkommen zur Verfügung.</t>
        </r>
      </text>
    </comment>
    <comment ref="A260" authorId="1">
      <text>
        <r>
          <rPr>
            <sz val="9"/>
            <color indexed="81"/>
            <rFont val="Tahoma"/>
            <family val="2"/>
          </rPr>
          <t>Bitte tragen Sie hier das Jahreseinkommen (brutto) ein. 
Einkünfte aus nichtselbstständiger Arbeit sind zum Beispiel : 
•Gehälter 
•Löhne
•Ausbildungsvergütung 
•Tantiemen 
•Weihnachts- und Urlaubsgeld</t>
        </r>
        <r>
          <rPr>
            <b/>
            <sz val="9"/>
            <color indexed="81"/>
            <rFont val="Tahoma"/>
            <family val="2"/>
          </rPr>
          <t xml:space="preserve">
</t>
        </r>
      </text>
    </comment>
    <comment ref="A266" authorId="1">
      <text>
        <r>
          <rPr>
            <sz val="9"/>
            <color indexed="81"/>
            <rFont val="Tahoma"/>
            <family val="2"/>
          </rPr>
          <t xml:space="preserve">Zu den Renten gehören insbesondere: 
• Renten aus der gesetzlichen Rentenversicherung, wie z.B. Altersrenten (Vollrente, vorgezogene Altersrente, Teilrente), Rente wegen Berufsunfähigkeit oder wegen Erwerbsunfähigkeit sowie die Hinterbliebenenrenten (insbesondere Witwen-/ Witwer- und Waisenrenten), 
• Renten aus privaten Versicherungen auf den Erlebens- oder Todesfall; hierzu zählen auch die privaten Berufsunfähigkeitsrenten und Rentenzahlungen aus privaten Unfallver­sicherungen, 
</t>
        </r>
      </text>
    </comment>
    <comment ref="A268" authorId="1">
      <text>
        <r>
          <rPr>
            <sz val="9"/>
            <color indexed="81"/>
            <rFont val="Tahoma"/>
            <family val="2"/>
          </rPr>
          <t>ohne Kinderbetreuungszuschlag
bei AFBG nur Unterhaltsbeitrag</t>
        </r>
      </text>
    </comment>
    <comment ref="A272" authorId="1">
      <text>
        <r>
          <rPr>
            <sz val="9"/>
            <color indexed="81"/>
            <rFont val="Tahoma"/>
            <family val="2"/>
          </rPr>
          <t>Zu den Steuern gehören die Einkommensteuer, die Lohnsteuer, der Solidaritätszuschlag, die Kapitalertragsteuer und die Kirchensteuer</t>
        </r>
      </text>
    </comment>
    <comment ref="A273" authorId="1">
      <text>
        <r>
          <rPr>
            <sz val="9"/>
            <color indexed="81"/>
            <rFont val="Tahoma"/>
            <family val="2"/>
          </rPr>
          <t>gesetzlich oder privat</t>
        </r>
      </text>
    </comment>
    <comment ref="A280" authorId="1">
      <text>
        <r>
          <rPr>
            <sz val="9"/>
            <color indexed="81"/>
            <rFont val="Tahoma"/>
            <family val="2"/>
          </rPr>
          <t xml:space="preserve">Für Dienstleistungen zur Betreuung eines zu Ihrem Haushalt rechnenden Kindes, welches das 14. Lebensjahr noch nicht vollendet hat oder wegen einer vor Vollendung des 25. Lebensjahres eingetretenen körperlichen, geistigen oder seelischen Behinderung außerstande ist, sich selbst zu unterhalten, können Sie hier zwei Drittel der Aufwendungen, höchstens 4.000 Euro je Kind, geltend machen. 
Dies gilt nicht für Aufwendungen für Unterricht (z.B. Schulgeld), die Vermittlung besonderer Fähigkeiten (z.B. Musikunterricht) sowie für sportliche und andere Freizeitbetätigungen (z.B. Mitgliedschaft im Sportverein). 
Die Aufwendungen sind von den Einkünften desjenigen Elternteils abzuziehen, der sie getragen hat. Auch in den Fällen, in denen beide Elternteile Aufwendungen getragen haben, werden nur zwei Drittel dieser Aufwendungen, insgesamt je Kind und Jahr nur höchstens 4.000 Euro, berücksichtigt; die Aufwendungen sind dann je zur Hälfte bei beiden Elternteilen zu berücksichtigen, wenn die Eltern keine andere Aufteilung wählen. Diese Zuordnungsregelungen gelten für verheiratete und unverheiratete Eltern gleichermaßen. 
Kinderbetreuungskosten können von steuerpflichtigen Einkünften abgesetzt werden. Dazu gehören neben Einkünften aus nichtselbstständiger Tätigkeit und Einkünften aus Gewerbebetrieb oder selbstständiger Tätigkeit auch nach § 22 Nr. 1a EStG steuerpflichtige Unterhaltszahlungen sowie nach § 22 Nr. 1 EStG steuerpflichtige Leibrenten. Auch ein Abzug von Kinderbetreuungskosten von pauschal versteuertem Arbeitslohn (sogenannten Mini-Jobs) ist möglich. 
Kinderbetreuungskosten sind nur für eigene Kinder abziehbar, nicht dagegen für Kinder aus früheren Beziehungen des jetzigen Ehegatten oder Partners. 
Die Aufwendungen sind durch Vorlage einer Rechnung und die Zahlung auf das Konto des Erbringers der Leistung nachzuweisen; Barzahlung und ein Nachweis per Quittung reichen nicht aus.
</t>
        </r>
      </text>
    </comment>
  </commentList>
</comments>
</file>

<file path=xl/comments3.xml><?xml version="1.0" encoding="utf-8"?>
<comments xmlns="http://schemas.openxmlformats.org/spreadsheetml/2006/main">
  <authors>
    <author>ME</author>
    <author>Michael</author>
  </authors>
  <commentList>
    <comment ref="A14" authorId="0">
      <text>
        <r>
          <rPr>
            <sz val="9"/>
            <color indexed="81"/>
            <rFont val="Tahoma"/>
            <family val="2"/>
          </rPr>
          <t>Im Unterschied zur GKV wird im Basistarif für jede versicherte Person ein eigener Beitrag erhoben. Ein Ehepaar zahlt also stets zwei Beiträge (jeweils begrenzt auf den Höchstbeitrag). Auch für Kinder und Jugendliche sind gesonderte Beiträge bis zu einer Höchstgrenze von derzeit rund 250 Euro zu zahlen. In der GKV dagegen sind Ehepartner und Kinder ohne eigenes Einkommen stets beitragsfrei mitversichert.</t>
        </r>
      </text>
    </comment>
    <comment ref="A21" authorId="0">
      <text>
        <r>
          <rPr>
            <sz val="9"/>
            <color indexed="81"/>
            <rFont val="Tahoma"/>
            <family val="2"/>
          </rPr>
          <t xml:space="preserve">Die Zahlung eines Zuschusses zu einer gesetzlichen KV/PV während des Leistungsbezugs kommt nur für Bezieherinnen und Bezieher von </t>
        </r>
        <r>
          <rPr>
            <b/>
            <sz val="9"/>
            <color indexed="81"/>
            <rFont val="Tahoma"/>
            <family val="2"/>
          </rPr>
          <t>Sozialgeld</t>
        </r>
        <r>
          <rPr>
            <sz val="9"/>
            <color indexed="81"/>
            <rFont val="Tahoma"/>
            <family val="2"/>
          </rPr>
          <t xml:space="preserve">, bei </t>
        </r>
        <r>
          <rPr>
            <b/>
            <sz val="9"/>
            <color indexed="81"/>
            <rFont val="Tahoma"/>
            <family val="2"/>
          </rPr>
          <t>darlehensweisem Alg II-Bezug</t>
        </r>
        <r>
          <rPr>
            <sz val="9"/>
            <color indexed="81"/>
            <rFont val="Tahoma"/>
            <family val="2"/>
          </rPr>
          <t xml:space="preserve"> und zur </t>
        </r>
        <r>
          <rPr>
            <b/>
            <sz val="9"/>
            <color indexed="81"/>
            <rFont val="Tahoma"/>
            <family val="2"/>
          </rPr>
          <t>Vermeidung von Hilfebedürftigkeit</t>
        </r>
        <r>
          <rPr>
            <sz val="9"/>
            <color indexed="81"/>
            <rFont val="Tahoma"/>
            <family val="2"/>
          </rPr>
          <t xml:space="preserve"> in Betracht. Für Bezieherinnen und Bezieher von Alg II ist die Versicherungspflicht aufgrund des Leistungsbezuges vorrangig.</t>
        </r>
      </text>
    </comment>
    <comment ref="A22" authorId="0">
      <text>
        <r>
          <rPr>
            <sz val="9"/>
            <color indexed="81"/>
            <rFont val="Tahoma"/>
            <family val="2"/>
          </rPr>
          <t>Beiträge zur freiwilligen gesetzlichen KV können nicht nach § 11b Abs. 1 Satz 1 Nr. 3 Buchstabe a SGB II abgesetzt werden, soweit die Beiträge nach § 26 zu bezuschussen sind. Das bedeutet vorrangiger Zuschuss für Beiträge zur freiwillig gesetzlichen KV.</t>
        </r>
      </text>
    </comment>
    <comment ref="A23" authorId="0">
      <text>
        <r>
          <rPr>
            <sz val="9"/>
            <color indexed="81"/>
            <rFont val="Tahoma"/>
            <family val="2"/>
          </rPr>
          <t xml:space="preserve">Beispiele für eine Versicherungspflicht zur GKV, welche nach § 26 berücksichtigt werden können:
•  KV als Studentin bzw. Student oder Praktikantin bzw. Praktikant
   (§ 5 Abs. 1 Nr. 9 und 10 SGB V);
•  Versicherungspflicht der selbständigen Künstlerinnen und Künstler und
    Publizistinnen und Publizisten nach § 5 Abs. 1 Nr. 1
    Künstlersozialversicherungsgesetz - KSVG; 
•  Versicherungspflicht bei komplett fehlender anderweitiger Absicherung
   (§ 5 Abs. 1 Nr. 13 SGB V); 
•  KV als Rentnerin bzw. Rentner (§ 5 Abs. 1 Nr. 11 und 12 SGB V);
•  KV aufgrund Beantragung einer Rente
   (KV der Rentnerinnen und Rentner ist erfüllt - § 189 SGB V).
Pflichtbeiträge zur gesetzlichen KV/PV können nur dann bezuschusst werden, soweit diese nicht nach § 11b Abs. 1 Satz 1 Nr. 2 SGB II abgesetzt werden. Das bedeutet eine </t>
        </r>
        <r>
          <rPr>
            <b/>
            <sz val="9"/>
            <color indexed="81"/>
            <rFont val="Tahoma"/>
            <family val="2"/>
          </rPr>
          <t>vorrangige Einkommensabsetzung für Beiträge zur gesetzlichen Pflichtversicherung.</t>
        </r>
      </text>
    </comment>
    <comment ref="A24" authorId="1">
      <text>
        <r>
          <rPr>
            <sz val="9"/>
            <color indexed="81"/>
            <rFont val="Tahoma"/>
            <family val="2"/>
          </rPr>
          <t>Der Zuschuss des Rententrägers zum Krankenversicherungsbeitrag nach § 106 SGB VI dient dem gleichen Zweck wie die Zuschusszahlung nach § 26 SGB II. Der Zuschuss des Rententrägers mindert daher unmittelbar den Zuschuss nach § 26 SGB II.</t>
        </r>
        <r>
          <rPr>
            <b/>
            <sz val="9"/>
            <color indexed="81"/>
            <rFont val="Tahoma"/>
            <family val="2"/>
          </rPr>
          <t xml:space="preserve">
</t>
        </r>
      </text>
    </comment>
    <comment ref="A25" authorId="0">
      <text>
        <r>
          <rPr>
            <sz val="9"/>
            <color indexed="81"/>
            <rFont val="Tahoma"/>
            <family val="2"/>
          </rPr>
          <t>Freiwillig in der gesetzlichen KV versicherte Personen sind versicherungspflichtig in der sozialen PV (§ 20 Abs. 3 SGB XI). Die hierbei anfallenden Beiträge sind in der Regel durch das Mitglied allein zu tragen (§ 59 Abs. 4 Satz 1 SGB XI). Da es sich um Pflichtbeiträge zur SV handelt, sind sie nach § 11b Abs. 1 Satz 1 Nr. 2 SGB II</t>
        </r>
        <r>
          <rPr>
            <b/>
            <sz val="9"/>
            <color indexed="81"/>
            <rFont val="Tahoma"/>
            <family val="2"/>
          </rPr>
          <t xml:space="preserve"> grundsätzlich vom Einkommen abzusetzen</t>
        </r>
        <r>
          <rPr>
            <sz val="9"/>
            <color indexed="81"/>
            <rFont val="Tahoma"/>
            <family val="2"/>
          </rPr>
          <t>. Ist dies nicht oder nicht vollständig möglich, wird ein Zuschuss gem. § 26 Abs. 3 Satz 2 SGB II gewährt.</t>
        </r>
      </text>
    </comment>
  </commentList>
</comments>
</file>

<file path=xl/comments4.xml><?xml version="1.0" encoding="utf-8"?>
<comments xmlns="http://schemas.openxmlformats.org/spreadsheetml/2006/main">
  <authors>
    <author>Michael</author>
    <author>ME</author>
  </authors>
  <commentList>
    <comment ref="A6" authorId="0">
      <text>
        <r>
          <rPr>
            <sz val="9"/>
            <color indexed="81"/>
            <rFont val="Tahoma"/>
            <family val="2"/>
          </rPr>
          <t xml:space="preserve">Zur Bedarfsgemeinschaft gehört die Partnerin oder der Partner sowie die dem Haushalt angehörenden unverheirateten Kinder, wenn sie das 25. Lebensjahr noch nicht vollendet haben, soweit sie die Leistungen zur Sicherung ihres Lebensunterhalts nicht aus eigenem Einkommen oder Vermögen beschaffen können. Ferner gehören zur BG die im Haushalt lebenden Eltern oder ein Elternteil eines unverheirateten erwerbsfähigen Kindes, welches das 25. Lebensjahr noch nicht vollendet hat und der/die im Haushalt lebende Partner/in dieses Elternteils.
</t>
        </r>
        <r>
          <rPr>
            <b/>
            <sz val="9"/>
            <color indexed="81"/>
            <rFont val="Tahoma"/>
            <family val="2"/>
          </rPr>
          <t>Die Anzahl wird automatisch ermittelt.</t>
        </r>
      </text>
    </comment>
    <comment ref="A35" authorId="0">
      <text>
        <r>
          <rPr>
            <sz val="9"/>
            <color indexed="81"/>
            <rFont val="Tahoma"/>
            <family val="2"/>
          </rPr>
          <t>Die Anspruchsberechtigung entfällt, sofern ein Tatbestand des § 7 Abs. 4 bis 5 SGB II zutrifft, z.B. Altersrentner, Studenten</t>
        </r>
      </text>
    </comment>
    <comment ref="A37" authorId="0">
      <text>
        <r>
          <rPr>
            <sz val="9"/>
            <color indexed="81"/>
            <rFont val="Tahoma"/>
            <family val="2"/>
          </rPr>
          <t xml:space="preserve">werdende Mütter erhalten ab der 13. Schwangerschaftswoche einen Zuschlag von 17 % ihres Regelbedarfes
</t>
        </r>
      </text>
    </comment>
    <comment ref="A46" authorId="0">
      <text>
        <r>
          <rPr>
            <sz val="9"/>
            <color indexed="81"/>
            <rFont val="Tahoma"/>
            <family val="2"/>
          </rPr>
          <t xml:space="preserve">bei einem Kind unter 7 Jahren oder 2 oder 3 Kindern unter 16 Jahren = 36 % des RB, ansonsten 12 % für jedes minderjährige Kind, max. 60 % des RB
</t>
        </r>
      </text>
    </comment>
    <comment ref="A91" authorId="0">
      <text>
        <r>
          <rPr>
            <sz val="9"/>
            <color indexed="81"/>
            <rFont val="Tahoma"/>
            <family val="2"/>
          </rPr>
          <t xml:space="preserve">für </t>
        </r>
        <r>
          <rPr>
            <b/>
            <sz val="9"/>
            <color indexed="81"/>
            <rFont val="Tahoma"/>
            <family val="2"/>
          </rPr>
          <t>erwerbsfähige</t>
        </r>
        <r>
          <rPr>
            <sz val="9"/>
            <color indexed="81"/>
            <rFont val="Tahoma"/>
            <family val="2"/>
          </rPr>
          <t xml:space="preserve"> behinderte Leistungsberechtigte, die Leistungen zur Teilhabe am Arbeitsleben erhalten, in Höhe von 35 % des maßgebenden Regelbedarfes
</t>
        </r>
      </text>
    </comment>
    <comment ref="A99" authorId="0">
      <text>
        <r>
          <rPr>
            <sz val="9"/>
            <color indexed="81"/>
            <rFont val="Tahoma"/>
            <family val="2"/>
          </rPr>
          <t>für erwerbsunfähige Sozialgeldbezieher ab 15 Jahren mit Schwerbehindertenausweis mit Merkzeichen G in Höhe von 17 % des RB.</t>
        </r>
      </text>
    </comment>
    <comment ref="A104" authorId="0">
      <text>
        <r>
          <rPr>
            <sz val="9"/>
            <color indexed="81"/>
            <rFont val="Tahoma"/>
            <family val="2"/>
          </rPr>
          <t>z.B. für Garage oder Möblierung</t>
        </r>
      </text>
    </comment>
    <comment ref="A122" authorId="0">
      <text>
        <r>
          <rPr>
            <sz val="9"/>
            <color indexed="81"/>
            <rFont val="Tahoma"/>
            <family val="2"/>
          </rPr>
          <t>Bei einer 5-Tage-Woche sind 19 Arbeitstage pro Monat anzuerkennen. Umfasst die Arbeitswoche mehr oder weniger Tage, sind die 19 Arbeitstage entsprechend zu erhöhen oder zu mindern:
6-Tage-Woche = 23 Tage
5-Tage-Woche = 19 Tage
4-Tage-Woche = 15 Tage
3-Tage-Woche = 11 Tage
2-Tage-Woche =   8 Tage
1-Tage-Woche =   4 Tage</t>
        </r>
      </text>
    </comment>
    <comment ref="A123" authorId="0">
      <text>
        <r>
          <rPr>
            <sz val="9"/>
            <color indexed="81"/>
            <rFont val="Tahoma"/>
            <family val="2"/>
          </rPr>
          <t xml:space="preserve">Ist eine erwerbsfähige leistungsberechtigte Person im Rahmen einer Erwerbstätigkeit von ihrer Wohnung abwesend, ohne dass eine doppelte Haushaltsführung vorliegt, ist für Mehraufwendungen für Verpflegung für jeden Kalendertag, an dem die Person wegen dieser vorübergehenden Tätigkeit von ihrer Wohnung und dem Tätigkeitsmittelpunkt </t>
        </r>
        <r>
          <rPr>
            <b/>
            <sz val="9"/>
            <color indexed="81"/>
            <rFont val="Tahoma"/>
            <family val="2"/>
          </rPr>
          <t>mindestens zwölf Stunden abwesend</t>
        </r>
        <r>
          <rPr>
            <sz val="9"/>
            <color indexed="81"/>
            <rFont val="Tahoma"/>
            <family val="2"/>
          </rPr>
          <t xml:space="preserve"> ist, ein Pauschbetrag in Höhe von 6 EUR abzusetzen.</t>
        </r>
      </text>
    </comment>
    <comment ref="A125" authorId="0">
      <text>
        <r>
          <rPr>
            <sz val="9"/>
            <color indexed="81"/>
            <rFont val="Tahoma"/>
            <family val="2"/>
          </rPr>
          <t xml:space="preserve">
bei </t>
        </r>
        <r>
          <rPr>
            <b/>
            <sz val="9"/>
            <color indexed="81"/>
            <rFont val="Tahoma"/>
            <family val="2"/>
          </rPr>
          <t>allen Formen der Erwerbstätigkeit</t>
        </r>
        <r>
          <rPr>
            <sz val="9"/>
            <color indexed="81"/>
            <rFont val="Tahoma"/>
            <family val="2"/>
          </rPr>
          <t xml:space="preserve"> sind bei Benutzung eines </t>
        </r>
        <r>
          <rPr>
            <b/>
            <sz val="11"/>
            <color indexed="81"/>
            <rFont val="Tahoma"/>
            <family val="2"/>
          </rPr>
          <t>Kraftfahrzeugs</t>
        </r>
        <r>
          <rPr>
            <sz val="9"/>
            <color indexed="81"/>
            <rFont val="Tahoma"/>
            <family val="2"/>
          </rPr>
          <t xml:space="preserve"> für die Fahrt zwischen Wohnung und Arbeitsstätte 0,20 EUR für jeden Entfernungskilometer der kürzesten Straßenverbindung als Kilometerpauschale abzusetzen.
Es ist deshalb die Entfernung in km einzutragen.
</t>
        </r>
      </text>
    </comment>
    <comment ref="A128" authorId="0">
      <text>
        <r>
          <rPr>
            <sz val="9"/>
            <color indexed="81"/>
            <rFont val="Tahoma"/>
            <family val="2"/>
          </rPr>
          <t xml:space="preserve">einschließlich Auslöse (Verpflegungsmehraufwendungen)
</t>
        </r>
        <r>
          <rPr>
            <b/>
            <sz val="9"/>
            <color indexed="81"/>
            <rFont val="Tahoma"/>
            <family val="2"/>
          </rPr>
          <t xml:space="preserve">
ohne VWL AG-Anteil</t>
        </r>
      </text>
    </comment>
    <comment ref="A129" authorId="0">
      <text>
        <r>
          <rPr>
            <sz val="9"/>
            <color indexed="81"/>
            <rFont val="Tahoma"/>
            <family val="2"/>
          </rPr>
          <t>Vom Arbeitgeber bereitgestellte Vollverpflegung ist pro Arbeitstag pauschal in Höhe von 1 Prozent des nach § 20 maßgebenden monatlichen Regelbedarfs als Einkommen zu berücksichtigen. Wird Teilverpflegung bereitgestellt, entfallen auf das Frühstück ein Anteil von 20 Prozent und auf das Mittag- und Abendessen Anteile von je 40 Prozent (§ 2 Abs. 5 Alg II-V).
Für die Berücksichtigung als Einkommen ist die Bereitstellung der Verpflegung ausreichend. Es kommt nicht darauf an, ob die bereit-gestellte Verpflegung auch tatsächlich in Anspruch genommen wird.</t>
        </r>
      </text>
    </comment>
    <comment ref="A138" authorId="0">
      <text>
        <r>
          <rPr>
            <sz val="9"/>
            <color indexed="81"/>
            <rFont val="Tahoma"/>
            <family val="2"/>
          </rPr>
          <t>Erhält eine leistungsberechtigte Person mindestens aus einer Tätigkeit steuerfreie Einnahmen nach § 3 Nummer 12, 26, 26a oder 26b EStG (z. B. Übungsleiter, Ausbilder, Erzieher, Betreuer, Tätigkeit im gemeinnützigen, mildtätigen oder kirchlichen Bereich) ist an Stelle der Beträge nach § 11b Absatz 1 Satz 1 Nr. 3 – 5 ein Betrag von bis zu 200 EUR abzusetzen. Höhere Aufwendungen können abgesetzt werden, wenn die Einnahmen einen Betrag von 200 EUR übersteigen und die Aufwendungen nachgewiesen werden.</t>
        </r>
      </text>
    </comment>
    <comment ref="A142" authorId="0">
      <text>
        <r>
          <rPr>
            <sz val="9"/>
            <color indexed="81"/>
            <rFont val="Tahoma"/>
            <family val="2"/>
          </rPr>
          <t xml:space="preserve">Kosten der günstigsten Monatsfahrkarte bzw. tatsächliche nachgewiesene Fahrtkosten
</t>
        </r>
      </text>
    </comment>
    <comment ref="A143" authorId="0">
      <text>
        <r>
          <rPr>
            <sz val="9"/>
            <color indexed="81"/>
            <rFont val="Tahoma"/>
            <family val="2"/>
          </rPr>
          <t xml:space="preserve">Als notwendige Aufwendungen zur Erzielung, Sicherung und Erhaltung der Einnahmen können z.B. nachfolgend aufgeführte Ausgaben in dem unabwendbar notwendigen Umfang berücksichtigt werden:
•doppelte Haushaltsführung
•Beiträge zu Berufsverbänden und Gewerkschaften
•Aufwendungen des Arbeitnehmers für Arbeitsmaterial, Berufskleidung, Arbeitsmittel
•Fachliteratur
•Fortbildung
•IT/Telefon
•Reisekosten
•Umzugskosten
•Unfallkosten
</t>
        </r>
        <r>
          <rPr>
            <sz val="9"/>
            <color indexed="81"/>
            <rFont val="Tahoma"/>
            <family val="2"/>
          </rPr>
          <t>Die Werbungskosten sind nur bei der Person abzusetzen, die das Erwerbseinkommen erzielt.</t>
        </r>
      </text>
    </comment>
    <comment ref="A165" authorId="0">
      <text>
        <r>
          <rPr>
            <sz val="9"/>
            <color indexed="81"/>
            <rFont val="Tahoma"/>
            <family val="2"/>
          </rPr>
          <t>anstatt des ausgewiesenen Sachbezugwertes für Verpflegung ist der Wert gemäß § 4 Satz 2 Nr. 4 i. V. m. § 2 Abs. 5 Alg II-V anzusetzen</t>
        </r>
      </text>
    </comment>
    <comment ref="A178" authorId="1">
      <text>
        <r>
          <rPr>
            <sz val="9"/>
            <color indexed="81"/>
            <rFont val="Tahoma"/>
            <family val="2"/>
          </rPr>
          <t>Die Einnahme ist in voller Höhe anzusetzen; Ausnahme: Kinderbetreuungszuschlag (BAföG) bzw. Kinderbetreuungskosten (BAB)</t>
        </r>
      </text>
    </comment>
    <comment ref="A184" authorId="1">
      <text>
        <r>
          <rPr>
            <sz val="9"/>
            <color indexed="81"/>
            <rFont val="Tahoma"/>
            <family val="2"/>
          </rPr>
          <t>sofern nicht bereits bei Ausbildungsvergütung berücksichtigt</t>
        </r>
      </text>
    </comment>
    <comment ref="A190" authorId="0">
      <text>
        <r>
          <rPr>
            <sz val="9"/>
            <color indexed="81"/>
            <rFont val="Tahoma"/>
            <family val="2"/>
          </rPr>
          <t>Das Kindergeld beträgt ab 2016:
- 190 € für das erste und zweite Kind
- 196 € für das dritte Kind
- 221 € ab dem vierten Kind
Ein den Bedarf des Kindes übersteigender Betrag (z. B. durch das Zusammentreffen mit Unterhaltsleistungen und/oder weiterem eigenen Einkommen) ist dem Kindergeldberechtigten als Einkommen zuzuordnen.</t>
        </r>
      </text>
    </comment>
    <comment ref="A192" authorId="0">
      <text>
        <r>
          <rPr>
            <sz val="9"/>
            <color indexed="81"/>
            <rFont val="Tahoma"/>
            <family val="2"/>
          </rPr>
          <t>Das UVG beträgt ab 2016:
- 145 € für Kinder bis fünf Jahre
- 194 € für die 6- bis 11-Jährigen</t>
        </r>
      </text>
    </comment>
    <comment ref="A201" authorId="0">
      <text>
        <r>
          <rPr>
            <sz val="9"/>
            <color indexed="81"/>
            <rFont val="Tahoma"/>
            <family val="2"/>
          </rPr>
          <t>Vom Einkommen eines jeden volljährigen Mitglieds einer Bedarfsgemeinschaft werden für angemessene private Versicherungen pauschal 30 € monatlich abgesetzt. Die Pauschale kann auch vom Kindergeld des 18- bis 24-jährigen Kindes abgesetzt werden. Auch auf Nachweis können keine höheren Beiträge berücksichtigt werden.
Vom Einkommen minderjähriger Hilfebedürftiger ist die Pauschale nur abzusetzen, wenn diese eine entsprechende Versicherung abgeschlossen haben</t>
        </r>
      </text>
    </comment>
    <comment ref="A202" authorId="0">
      <text>
        <r>
          <rPr>
            <sz val="9"/>
            <color indexed="81"/>
            <rFont val="Tahoma"/>
            <family val="2"/>
          </rPr>
          <t>Grundsätzlich sind die Beiträge für gesetzlich vorgeschriebene Versicherungen beim Einkommen der Person in Abzug zu bringen, die es erzielt; Versicherungsnehmer (bei gesetzlich vorgeschriebenen Versicherungen) kann auch eine andere Person in der Bedarfsgemeinschaft sein. Übersteigen die Absetzungsbeträge das Einkommen, können Restbeträge auch vom Einkommen anderer volljähriger Mitglieder der Bedarfsgemeinschaft abgesetzt werden</t>
        </r>
      </text>
    </comment>
    <comment ref="A216" authorId="0">
      <text>
        <r>
          <rPr>
            <sz val="9"/>
            <color indexed="81"/>
            <rFont val="Tahoma"/>
            <family val="2"/>
          </rPr>
          <t>Aufwendungen zur Erfüllung gesetzlicher Unterhaltsverpflichtungen stehen bis zu dem in einem Unterhaltstitel oder in einer notariell beurkundeten Unterhaltsvereinbarung festgelegten Betrag den Betroffenen nicht als bereites Einkommen zur Verfügung.</t>
        </r>
      </text>
    </comment>
  </commentList>
</comments>
</file>

<file path=xl/comments5.xml><?xml version="1.0" encoding="utf-8"?>
<comments xmlns="http://schemas.openxmlformats.org/spreadsheetml/2006/main">
  <authors>
    <author>Michael</author>
    <author>ME</author>
  </authors>
  <commentList>
    <comment ref="A6" authorId="0">
      <text>
        <r>
          <rPr>
            <sz val="9"/>
            <color indexed="81"/>
            <rFont val="Tahoma"/>
            <family val="2"/>
          </rPr>
          <t xml:space="preserve">Zur Bedarfsgemeinschaft gehört die Partnerin oder der Partner sowie die dem Haushalt angehörenden unverheirateten Kinder, wenn sie das 25. Lebensjahr noch nicht vollendet haben, soweit sie die Leistungen zur Sicherung ihres Lebensunterhalts nicht aus eigenem Einkommen oder Vermögen beschaffen können. Ferner gehören zur BG die im Haushalt lebenden Eltern oder ein Elternteil eines unverheirateten erwerbsfähigen Kindes, welches das 25. Lebensjahr noch nicht vollendet hat und der/die im Haushalt lebende Partner/in dieses Elternteils.
</t>
        </r>
        <r>
          <rPr>
            <b/>
            <sz val="9"/>
            <color indexed="81"/>
            <rFont val="Tahoma"/>
            <family val="2"/>
          </rPr>
          <t>Die Anzahl wird automatisch ermittelt.</t>
        </r>
      </text>
    </comment>
    <comment ref="A7" authorId="0">
      <text>
        <r>
          <rPr>
            <sz val="9"/>
            <color indexed="81"/>
            <rFont val="Tahoma"/>
            <family val="2"/>
          </rPr>
          <t xml:space="preserve">zur Ermittlung des Erwerbstätigenfreibetrages
</t>
        </r>
      </text>
    </comment>
    <comment ref="A35" authorId="0">
      <text>
        <r>
          <rPr>
            <sz val="9"/>
            <color indexed="81"/>
            <rFont val="Tahoma"/>
            <family val="2"/>
          </rPr>
          <t>Die Anspruchsberechtigung entfällt, sofern ein Tatbestand des § 7 Abs. 4 bis 5 SGB II zutrifft, z.B. Altersrentner, Studenten</t>
        </r>
      </text>
    </comment>
    <comment ref="A37" authorId="0">
      <text>
        <r>
          <rPr>
            <sz val="9"/>
            <color indexed="81"/>
            <rFont val="Tahoma"/>
            <family val="2"/>
          </rPr>
          <t xml:space="preserve">werdende Mütter erhalten ab der 13. Schwangerschaftswoche einen Zuschlag von 17 % ihres Regelbedarfes
</t>
        </r>
      </text>
    </comment>
    <comment ref="A46" authorId="0">
      <text>
        <r>
          <rPr>
            <sz val="9"/>
            <color indexed="81"/>
            <rFont val="Tahoma"/>
            <family val="2"/>
          </rPr>
          <t xml:space="preserve">bei einem Kind unter 7 Jahren oder 2 oder 3 Kindern unter 16 Jahren = 36 % des RB, ansonsten 12 % für jedes minderjährige Kind, max. 60 % des RB
</t>
        </r>
      </text>
    </comment>
    <comment ref="A91" authorId="0">
      <text>
        <r>
          <rPr>
            <sz val="9"/>
            <color indexed="81"/>
            <rFont val="Tahoma"/>
            <family val="2"/>
          </rPr>
          <t xml:space="preserve">für </t>
        </r>
        <r>
          <rPr>
            <b/>
            <sz val="9"/>
            <color indexed="81"/>
            <rFont val="Tahoma"/>
            <family val="2"/>
          </rPr>
          <t>erwerbsfähige</t>
        </r>
        <r>
          <rPr>
            <sz val="9"/>
            <color indexed="81"/>
            <rFont val="Tahoma"/>
            <family val="2"/>
          </rPr>
          <t xml:space="preserve"> behinderte Leistungsberechtigte, die Leistungen zur Teilhabe am Arbeitsleben erhalten, in Höhe von 35 % des maßgebenden Regelbedarfes
</t>
        </r>
      </text>
    </comment>
    <comment ref="A93" authorId="1">
      <text>
        <r>
          <rPr>
            <sz val="9"/>
            <color indexed="81"/>
            <rFont val="Tahoma"/>
            <family val="2"/>
          </rPr>
          <t>mögliche Mehrbedarfe:
siehe Bedarfssätze</t>
        </r>
      </text>
    </comment>
    <comment ref="A99" authorId="0">
      <text>
        <r>
          <rPr>
            <sz val="9"/>
            <color indexed="81"/>
            <rFont val="Tahoma"/>
            <family val="2"/>
          </rPr>
          <t>für erwerbsunfähige Sozialgeldbezieher ab 15 Jahren mit Schwerbehindertenausweis mit Merkzeichen G in Höhe von 17 % des RB.</t>
        </r>
      </text>
    </comment>
    <comment ref="A104" authorId="0">
      <text>
        <r>
          <rPr>
            <sz val="9"/>
            <color indexed="81"/>
            <rFont val="Tahoma"/>
            <family val="2"/>
          </rPr>
          <t>z.B. für Garage oder Möblierung</t>
        </r>
      </text>
    </comment>
    <comment ref="A122" authorId="0">
      <text>
        <r>
          <rPr>
            <sz val="9"/>
            <color indexed="81"/>
            <rFont val="Tahoma"/>
            <family val="2"/>
          </rPr>
          <t>Bei einer 5-Tage-Woche sind 19 Arbeitstage pro Monat anzuerkennen. Umfasst die Arbeitswoche mehr oder weniger Tage, sind die 19 Arbeitstage entsprechend zu erhöhen oder zu mindern:
6-Tage-Woche = 23 Tage
5-Tage-Woche = 19 Tage
4-Tage-Woche = 15 Tage
3-Tage-Woche = 11 Tage
2-Tage-Woche =   8 Tage
1-Tage-Woche =   4 Tage</t>
        </r>
      </text>
    </comment>
    <comment ref="A123" authorId="0">
      <text>
        <r>
          <rPr>
            <sz val="9"/>
            <color indexed="81"/>
            <rFont val="Tahoma"/>
            <family val="2"/>
          </rPr>
          <t xml:space="preserve">Ist eine erwerbsfähige leistungsberechtigte Person im Rahmen einer Erwerbstätigkeit von ihrer Wohnung abwesend, ohne dass eine doppelte Haushaltsführung vorliegt, ist für Mehraufwendungen für Verpflegung für jeden Kalendertag, an dem die Person wegen dieser vorübergehenden Tätigkeit von ihrer Wohnung und dem Tätigkeitsmittelpunkt </t>
        </r>
        <r>
          <rPr>
            <b/>
            <sz val="9"/>
            <color indexed="81"/>
            <rFont val="Tahoma"/>
            <family val="2"/>
          </rPr>
          <t>mindestens zwölf Stunden abwesend</t>
        </r>
        <r>
          <rPr>
            <sz val="9"/>
            <color indexed="81"/>
            <rFont val="Tahoma"/>
            <family val="2"/>
          </rPr>
          <t xml:space="preserve"> ist, ein Pauschbetrag in Höhe von 6 EUR abzusetzen.</t>
        </r>
      </text>
    </comment>
    <comment ref="A125" authorId="0">
      <text>
        <r>
          <rPr>
            <sz val="9"/>
            <color indexed="81"/>
            <rFont val="Tahoma"/>
            <family val="2"/>
          </rPr>
          <t xml:space="preserve">
bei </t>
        </r>
        <r>
          <rPr>
            <b/>
            <sz val="9"/>
            <color indexed="81"/>
            <rFont val="Tahoma"/>
            <family val="2"/>
          </rPr>
          <t>allen Formen der Erwerbstätigkeit</t>
        </r>
        <r>
          <rPr>
            <sz val="9"/>
            <color indexed="81"/>
            <rFont val="Tahoma"/>
            <family val="2"/>
          </rPr>
          <t xml:space="preserve"> sind bei Benutzung eines </t>
        </r>
        <r>
          <rPr>
            <b/>
            <sz val="11"/>
            <color indexed="81"/>
            <rFont val="Tahoma"/>
            <family val="2"/>
          </rPr>
          <t>Kraftfahrzeugs</t>
        </r>
        <r>
          <rPr>
            <sz val="9"/>
            <color indexed="81"/>
            <rFont val="Tahoma"/>
            <family val="2"/>
          </rPr>
          <t xml:space="preserve"> für die Fahrt zwischen Wohnung und Arbeitsstätte 0,20 EUR für jeden Entfernungskilometer der kürzesten Straßenverbindung als Kilometerpauschale abzusetzen.
Es ist deshalb die Entfernung in km einzutragen.
</t>
        </r>
      </text>
    </comment>
    <comment ref="A128" authorId="0">
      <text>
        <r>
          <rPr>
            <sz val="9"/>
            <color indexed="81"/>
            <rFont val="Tahoma"/>
            <family val="2"/>
          </rPr>
          <t xml:space="preserve">einschließlich Auslöse (Verpflegungsmehraufwendungen)
</t>
        </r>
        <r>
          <rPr>
            <b/>
            <sz val="9"/>
            <color indexed="81"/>
            <rFont val="Tahoma"/>
            <family val="2"/>
          </rPr>
          <t xml:space="preserve">
ohne VWL AG-Anteil</t>
        </r>
        <r>
          <rPr>
            <sz val="9"/>
            <color indexed="81"/>
            <rFont val="Tahoma"/>
            <family val="2"/>
          </rPr>
          <t xml:space="preserve">
</t>
        </r>
      </text>
    </comment>
    <comment ref="A129" authorId="0">
      <text>
        <r>
          <rPr>
            <sz val="9"/>
            <color indexed="81"/>
            <rFont val="Tahoma"/>
            <family val="2"/>
          </rPr>
          <t xml:space="preserve">Vom Arbeitgeber bereitgestellte Vollverpflegung ist pro Arbeitstag pauschal in Höhe von 1 Prozent des nach § 20 maßgebenden monatlichen Regelbedarfs als Einkommen zu berücksichtigen. Wird Teilverpflegung bereitgestellt, entfallen auf das Frühstück ein Anteil von 20 Prozent und auf das Mittag- und Abendessen Anteile von je 40 Prozent (§ 2 Abs. 5 Alg II-V).
Für die Berücksichtigung als Einkommen ist die Bereitstellung der Verpflegung ausreichend. Es kommt nicht darauf an, ob die bereit-gestellte Verpflegung auch tatsächlich in Anspruch genommen wird.
</t>
        </r>
        <r>
          <rPr>
            <b/>
            <sz val="9"/>
            <color indexed="81"/>
            <rFont val="Tahoma"/>
            <family val="2"/>
          </rPr>
          <t xml:space="preserve">Arbeitstage im Monat eingeben!
</t>
        </r>
      </text>
    </comment>
    <comment ref="A138" authorId="0">
      <text>
        <r>
          <rPr>
            <sz val="9"/>
            <color indexed="81"/>
            <rFont val="Tahoma"/>
            <family val="2"/>
          </rPr>
          <t>Erhält eine leistungsberechtigte Person mindestens aus einer Tätigkeit steuerfreie Einnahmen nach § 3 Nummer 12, 26, 26a oder 26b EStG (z. B. Übungsleiter, Ausbilder, Erzieher, Betreuer, Tätigkeit im gemeinnützigen, mildtätigen oder kirchlichen Bereich) ist an Stelle der Beträge nach § 11b Absatz 1 Satz 1 Nr. 3 – 5 ein Betrag von bis zu 200 EUR abzusetzen. Höhere Aufwendungen können abgesetzt werden, wenn die Einnahmen einen Betrag von 200 EUR übersteigen und die Aufwendungen nachgewiesen werden.</t>
        </r>
      </text>
    </comment>
    <comment ref="A142" authorId="0">
      <text>
        <r>
          <rPr>
            <sz val="9"/>
            <color indexed="81"/>
            <rFont val="Tahoma"/>
            <family val="2"/>
          </rPr>
          <t xml:space="preserve">Kosten der günstigsten Monatsfahrkarte bzw. tatsächliche nachgewiesene Fahrtkosten
</t>
        </r>
      </text>
    </comment>
    <comment ref="A143" authorId="0">
      <text>
        <r>
          <rPr>
            <sz val="9"/>
            <color indexed="81"/>
            <rFont val="Tahoma"/>
            <family val="2"/>
          </rPr>
          <t xml:space="preserve">Als notwendige Aufwendungen zur Erzielung, Sicherung und Erhaltung der Einnahmen können z.B. nachfolgend aufgeführte Ausgaben in dem unabwendbar notwendigen Umfang berücksichtigt werden:
•doppelte Haushaltsführung
•Beiträge zu Berufsverbänden und Gewerkschaften
•Aufwendungen des Arbeitnehmers für Arbeitsmaterial, Berufskleidung, Arbeitsmittel
•Fachliteratur
•Fortbildung
•IT/Telefon
•Reisekosten
•Umzugskosten
•Unfallkosten
</t>
        </r>
        <r>
          <rPr>
            <sz val="9"/>
            <color indexed="81"/>
            <rFont val="Tahoma"/>
            <family val="2"/>
          </rPr>
          <t>Die Werbungskosten sind nur bei der Person abzusetzen, die das Erwerbseinkommen erzielt.</t>
        </r>
      </text>
    </comment>
    <comment ref="A165" authorId="0">
      <text>
        <r>
          <rPr>
            <sz val="9"/>
            <color indexed="81"/>
            <rFont val="Tahoma"/>
            <family val="2"/>
          </rPr>
          <t>anstatt des ausgewiesenen Sachbezugwertes für Verpflegung ist der Wert gemäß § 4 Satz 2 Nr. 4 i. V. m. § 2 Abs. 5 Alg II-V anzusetzen</t>
        </r>
      </text>
    </comment>
    <comment ref="A178" authorId="1">
      <text>
        <r>
          <rPr>
            <sz val="9"/>
            <color indexed="81"/>
            <rFont val="Tahoma"/>
            <family val="2"/>
          </rPr>
          <t>Die Einnahme ist in</t>
        </r>
        <r>
          <rPr>
            <b/>
            <sz val="9"/>
            <color indexed="81"/>
            <rFont val="Tahoma"/>
            <family val="2"/>
          </rPr>
          <t xml:space="preserve"> voller</t>
        </r>
        <r>
          <rPr>
            <sz val="9"/>
            <color indexed="81"/>
            <rFont val="Tahoma"/>
            <family val="2"/>
          </rPr>
          <t xml:space="preserve"> Höhe anzusetzen; Ausnahme: Kinderbetreuungszuschlag (BAföG) bzw. Kinderbetreuungskosten (BAB)</t>
        </r>
      </text>
    </comment>
    <comment ref="A184" authorId="1">
      <text>
        <r>
          <rPr>
            <sz val="9"/>
            <color indexed="81"/>
            <rFont val="Tahoma"/>
            <family val="2"/>
          </rPr>
          <t>sofern nicht bereits bei Ausbildungsvergütung berücksichtigt</t>
        </r>
      </text>
    </comment>
    <comment ref="A190" authorId="0">
      <text>
        <r>
          <rPr>
            <sz val="9"/>
            <color indexed="81"/>
            <rFont val="Tahoma"/>
            <family val="2"/>
          </rPr>
          <t>Das Kindergeld beträgt ab 2017 (in Klammer 2016):
- 192 € (190 €) für das erste und zweite Kind
- 198 € (196 €) für das dritte Kind
- 223 € (221 €) ab dem vierten Kind
Ein den Bedarf des Kindes übersteigender Betrag (z. B. durch das Zusammentreffen mit Unterhaltsleistungen und/oder weiterem eigenen Einkommen) ist dem Kindergeldberechtigten als Einkommen zuzuordnen.</t>
        </r>
      </text>
    </comment>
    <comment ref="A192" authorId="0">
      <text>
        <r>
          <rPr>
            <sz val="9"/>
            <color indexed="81"/>
            <rFont val="Tahoma"/>
            <family val="2"/>
          </rPr>
          <t>Der Unterhaltsvorschuss beträgt ab 2017 (in Klammer 2016) :
- 152 € (145 €) für Kinder bis fünf Jahre
- 203 € (194 €) für die 6- bis 11-Jährigen
- 270 €            für die 12- bis 17-Jährigen</t>
        </r>
      </text>
    </comment>
    <comment ref="A201" authorId="0">
      <text>
        <r>
          <rPr>
            <sz val="9"/>
            <color indexed="81"/>
            <rFont val="Tahoma"/>
            <family val="2"/>
          </rPr>
          <t>Vom Einkommen eines jeden volljährigen Mitglieds einer Bedarfsgemeinschaft werden für angemessene private Versicherungen pauschal 30 € monatlich abgesetzt. Die Pauschale kann auch vom Kindergeld des 18- bis 24-jährigen Kindes abgesetzt werden. Auch auf Nachweis können keine höheren Beiträge berücksichtigt werden.
Vom Einkommen minderjähriger Hilfebedürftiger ist die Pauschale nur abzusetzen, wenn diese eine entsprechende Versicherung abgeschlossen haben</t>
        </r>
      </text>
    </comment>
    <comment ref="A202" authorId="0">
      <text>
        <r>
          <rPr>
            <sz val="9"/>
            <color indexed="81"/>
            <rFont val="Tahoma"/>
            <family val="2"/>
          </rPr>
          <t>Grundsätzlich sind die Beiträge für gesetzlich vorgeschriebene Versicherungen beim Einkommen der Person in Abzug zu bringen, die es erzielt; Versicherungsnehmer (bei gesetzlich vorgeschriebenen Versicherungen) kann auch eine andere Person in der Bedarfsgemeinschaft sein. Übersteigen die Absetzungsbeträge das Einkommen, können Restbeträge auch vom Einkommen anderer volljähriger Mitglieder der Bedarfsgemeinschaft abgesetzt werden</t>
        </r>
      </text>
    </comment>
    <comment ref="A203" authorId="0">
      <text>
        <r>
          <rPr>
            <sz val="9"/>
            <color indexed="81"/>
            <rFont val="Tahoma"/>
            <family val="2"/>
          </rPr>
          <t xml:space="preserve">Aufwendungen für angemessene Versicherungen, die die Gesundheits- und Altersvorsorge der Mitglieder der BG sichern, </t>
        </r>
        <r>
          <rPr>
            <b/>
            <sz val="9"/>
            <color indexed="81"/>
            <rFont val="Tahoma"/>
            <family val="2"/>
          </rPr>
          <t>die nicht der gesetzlichen Krankenversicherungspflicht unterliegen und die von der gesetzlichen Rentenversicherung befreit sind</t>
        </r>
        <r>
          <rPr>
            <sz val="9"/>
            <color indexed="81"/>
            <rFont val="Tahoma"/>
            <family val="2"/>
          </rPr>
          <t xml:space="preserve">. Hierzu gehören z. B. freiwillige/private Krankenversicherung, Unfallversicherung, Lebensversicherungen. Diese können in angemessener Höhe (z. B. halber Basistarif in der freiwilligen/privaten Krankenversicherung) abgesetzt werden.
Nach § 26 geleistete Zuschüsse zur freiwilligen/privaten KV oder PV mindern den Absetzungsbetrag.
Beiträge zur privaten Altersvorsorge sind auf Ihre Angemessenheit zu prüfen. Sachgerecht ist dabei ein Vergleich mit den Beiträgen, die bei bestehender Rentenversicherungspflicht zu zahlen wären. Für die Berechnung des angemessenen Beitrages ist von dem vollständigen Beitrag zur gesetzlichen Rentenversicherung auszugehen (zurzeit 18,7 Prozent); der Mindestbeitrag in der gesetzlichen RV von aktuell 84,15 € ist in jedem Fall (auch bei Einnahmen unter 450,00 €) anzuerkennen.
Angemessene Beiträge zu einer privaten Altersvorsorge sind insbesondere auch vom Einkommen aus selbständiger Tätigkeit abzusetzen, wenn für die selbständig erwerbstätige Person keine Versicherungspflicht in der gesetzlichen RV besteht.
Beiträge zu einer Zusatzversorgungskasse sind hier ebenfalls absetzbar.
</t>
        </r>
      </text>
    </comment>
    <comment ref="A216" authorId="0">
      <text>
        <r>
          <rPr>
            <sz val="9"/>
            <color indexed="81"/>
            <rFont val="Tahoma"/>
            <family val="2"/>
          </rPr>
          <t>Aufwendungen zur Erfüllung gesetzlicher Unterhaltsverpflichtungen stehen bis zu dem in einem Unterhaltstitel oder in einer notariell beurkundeten Unterhaltsvereinbarung festgelegten Betrag den Betroffenen nicht als bereites Einkommen zur Verfügung.</t>
        </r>
      </text>
    </comment>
  </commentList>
</comments>
</file>

<file path=xl/sharedStrings.xml><?xml version="1.0" encoding="utf-8"?>
<sst xmlns="http://schemas.openxmlformats.org/spreadsheetml/2006/main" count="5441" uniqueCount="2403">
  <si>
    <t>Bedarf</t>
  </si>
  <si>
    <t>BG insgesamt</t>
  </si>
  <si>
    <t>Berechnung Arbeitslosengeld II und Sozialgeld</t>
  </si>
  <si>
    <t>Alter</t>
  </si>
  <si>
    <t>Antragsteller:</t>
  </si>
  <si>
    <t>Antragsteller</t>
  </si>
  <si>
    <t>Partner(in)</t>
  </si>
  <si>
    <t>Kind 1</t>
  </si>
  <si>
    <t>Kind 2</t>
  </si>
  <si>
    <t>Kind 3</t>
  </si>
  <si>
    <t>Kind 4</t>
  </si>
  <si>
    <t>erwerbsunfähig, Merkzeichen G</t>
  </si>
  <si>
    <t>alleinerziehend</t>
  </si>
  <si>
    <t>Unterkunftkosten</t>
  </si>
  <si>
    <t>Kaltmiete/Zinsbelastung</t>
  </si>
  <si>
    <t>./. Kostenanteil für</t>
  </si>
  <si>
    <t>Nebenkosten</t>
  </si>
  <si>
    <t>weitere Nebenkosten</t>
  </si>
  <si>
    <t>Heizkosten</t>
  </si>
  <si>
    <t>Mehrbedarf für</t>
  </si>
  <si>
    <t>Sonstiger Bedarf</t>
  </si>
  <si>
    <t>Summe Bedarf</t>
  </si>
  <si>
    <t>Einkommen</t>
  </si>
  <si>
    <t>Kindergeld</t>
  </si>
  <si>
    <t>kostenaufwändige Ernährung</t>
  </si>
  <si>
    <t>Arbeitslosengeld</t>
  </si>
  <si>
    <t>Summe Einkommen</t>
  </si>
  <si>
    <t>Anspruch</t>
  </si>
  <si>
    <t>x 20 %        =</t>
  </si>
  <si>
    <t>x 10 %        =</t>
  </si>
  <si>
    <t>gesamt</t>
  </si>
  <si>
    <t>./. Fahrtkosten 0,20 €/km</t>
  </si>
  <si>
    <t>minderjähriges Kind vorhanden</t>
  </si>
  <si>
    <t>gültig ab:</t>
  </si>
  <si>
    <t>Kind 5</t>
  </si>
  <si>
    <t>BG besteht aus</t>
  </si>
  <si>
    <t>verbleibender Bedarf</t>
  </si>
  <si>
    <t>Bedarfsanteile</t>
  </si>
  <si>
    <t>verteilbares Einkommen</t>
  </si>
  <si>
    <t>anspruchsberechtigt</t>
  </si>
  <si>
    <t>./. verteiltes Einkommen</t>
  </si>
  <si>
    <t>Unterkunftkosten gesamt</t>
  </si>
  <si>
    <t>unabweisbarer, lfd., besond. Bedarf</t>
  </si>
  <si>
    <t>Bedarfssätze</t>
  </si>
  <si>
    <t>Leistungsanspruch</t>
  </si>
  <si>
    <t>bis 1000 €</t>
  </si>
  <si>
    <t>Alleinstehende/Alleinerziehende</t>
  </si>
  <si>
    <t>Partner</t>
  </si>
  <si>
    <t>18-24 jährige</t>
  </si>
  <si>
    <t>14-17 jährige</t>
  </si>
  <si>
    <t>6-13 jährige</t>
  </si>
  <si>
    <t>bis 5 jährige</t>
  </si>
  <si>
    <t>Regelbedarf</t>
  </si>
  <si>
    <t>Nettolohn</t>
  </si>
  <si>
    <t>Bruttolohn</t>
  </si>
  <si>
    <t>weitere Kosten</t>
  </si>
  <si>
    <t>Warmwasser dezentral (z.B. Boiler)?</t>
  </si>
  <si>
    <t>behinderter Mensch, Leistungen zur Teilhabe</t>
  </si>
  <si>
    <t>Bedarfsgemeinschaft besteht aus</t>
  </si>
  <si>
    <t>Notwendige Daten zur Berechnung des Anspruchs</t>
  </si>
  <si>
    <t>vom Arbeitgeber bereitgestellte Verpflegung</t>
  </si>
  <si>
    <t>Elterngeld</t>
  </si>
  <si>
    <t>./. Kostenanteil für Haushaltsstrom (pauschal)</t>
  </si>
  <si>
    <t>Strom</t>
  </si>
  <si>
    <t>Bedarfsgemeinschaft</t>
  </si>
  <si>
    <t>Einnahmen</t>
  </si>
  <si>
    <t>Absetzungen</t>
  </si>
  <si>
    <t>anrechenbares Einkommen</t>
  </si>
  <si>
    <t>Geburtsdatum</t>
  </si>
  <si>
    <t>Ausbildungsvergütung (brutto)</t>
  </si>
  <si>
    <t>Ausbildungsvergütung (netto)</t>
  </si>
  <si>
    <t>Verlängerungsoption beim Elterngeld</t>
  </si>
  <si>
    <t>durchschnittl. mtl. Einkommen letzte 12 Monate</t>
  </si>
  <si>
    <t>Angaben zur Riester-Rente</t>
  </si>
  <si>
    <t>Versicherungspauschale 30 €</t>
  </si>
  <si>
    <t>Kfz-Haftpflichtversicherung</t>
  </si>
  <si>
    <t>Anzahl Tage mit mind. 12stündiger Abwesenheit</t>
  </si>
  <si>
    <t>Unterhaltsverpflichtungen</t>
  </si>
  <si>
    <t>Elterngeldfreibetrag</t>
  </si>
  <si>
    <t>Altersrente</t>
  </si>
  <si>
    <t xml:space="preserve">Unterhalt </t>
  </si>
  <si>
    <t>Unterhaltsvorschuss</t>
  </si>
  <si>
    <t>Einkommen aus Erwerbstätigkeit</t>
  </si>
  <si>
    <r>
      <t>Entfernung</t>
    </r>
    <r>
      <rPr>
        <sz val="12"/>
        <rFont val="Arial Narrow"/>
        <family val="2"/>
      </rPr>
      <t xml:space="preserve"> Wohnung-Arbeitsplatz</t>
    </r>
  </si>
  <si>
    <t>vom Träger bereitgestellte Verpflegung</t>
  </si>
  <si>
    <t>an durchschnittlich ____ Tagen im Monat</t>
  </si>
  <si>
    <r>
      <t xml:space="preserve">Taschengeld aus </t>
    </r>
    <r>
      <rPr>
        <u/>
        <sz val="12"/>
        <rFont val="Arial Narrow"/>
        <family val="2"/>
      </rPr>
      <t>Freiwilligendienst</t>
    </r>
  </si>
  <si>
    <t>Bruttolohn gesamt</t>
  </si>
  <si>
    <t>Wert Verpflegung</t>
  </si>
  <si>
    <t>Nettolohn gesamt</t>
  </si>
  <si>
    <t>Summe § 11b (1) Satz 1 Nr. 3 bis 4</t>
  </si>
  <si>
    <t>Freibetrag Taschengeld</t>
  </si>
  <si>
    <t>Summe § 11b (1) Satz 1 Nr. 3 bis 5</t>
  </si>
  <si>
    <t>./. Verpflegungsmehraufwand</t>
  </si>
  <si>
    <t>Ausbildungsvergütung</t>
  </si>
  <si>
    <t>Übungsleiter</t>
  </si>
  <si>
    <t>./. Grundfreibetrag bei Lohn/Azubi/Übungsleiter</t>
  </si>
  <si>
    <t>Schwangerschaft; Entbindungstermin eingeben</t>
  </si>
  <si>
    <t>Lohn / Entgeltersatzleistungen</t>
  </si>
  <si>
    <t>ja</t>
  </si>
  <si>
    <t>Summe netto</t>
  </si>
  <si>
    <t>Summe brutto</t>
  </si>
  <si>
    <t>Mehrbedarf</t>
  </si>
  <si>
    <t>bis</t>
  </si>
  <si>
    <t>Es besteht ein Anspruch in Höhe von</t>
  </si>
  <si>
    <t>Einnahmen Freiwilligendienst gesamt</t>
  </si>
  <si>
    <t>Einmalzahlung brutto, z.B. Weihnachtsgeld</t>
  </si>
  <si>
    <t>Einmalzahlung netto, z.B. Weihnachtsgeld</t>
  </si>
  <si>
    <t xml:space="preserve">Berechnung Freibetrag nach § 11b (3) SGB II für Kind 4 </t>
  </si>
  <si>
    <t xml:space="preserve">Berechnung Freibetrag nach § 11b (3) SGB II für Kind 5 </t>
  </si>
  <si>
    <t xml:space="preserve">Berechnung Freibetrag nach § 11b (3) SGB II für Kind 3 </t>
  </si>
  <si>
    <t xml:space="preserve">Berechnung Freibetrag nach § 11b (3) SGB II für Kind 2 </t>
  </si>
  <si>
    <t xml:space="preserve">Berechnung Freibetrag nach § 11b (3) SGB II für Kind 1 </t>
  </si>
  <si>
    <t xml:space="preserve">Berechnung Freibetrag nach § 11b (3) SGB II für Partner(in) </t>
  </si>
  <si>
    <t xml:space="preserve">Berechnung Freibetrag nach § 11b (3) SGB II für Antragsteller </t>
  </si>
  <si>
    <t>sonstiges Einkommen</t>
  </si>
  <si>
    <t>Anzahl der weiteren Personen im Haushalt</t>
  </si>
  <si>
    <t xml:space="preserve">1 Kind u 7 </t>
  </si>
  <si>
    <t xml:space="preserve">1 Kind 7 bis 17 </t>
  </si>
  <si>
    <t xml:space="preserve">2 Kinder u 16 </t>
  </si>
  <si>
    <t xml:space="preserve">2 Kinder 16 bis 17 </t>
  </si>
  <si>
    <t xml:space="preserve">1 Kind ab 7 + 1 Kind 16 bis 17 </t>
  </si>
  <si>
    <t>3 Kinder bis 17</t>
  </si>
  <si>
    <t xml:space="preserve">4 Kinder bis 17 </t>
  </si>
  <si>
    <t>5 Kinder bis 17</t>
  </si>
  <si>
    <t>Bedarf ./. Einkommen</t>
  </si>
  <si>
    <r>
      <t xml:space="preserve">steuerfreie Einnahmen aus </t>
    </r>
    <r>
      <rPr>
        <b/>
        <sz val="12"/>
        <rFont val="Arial Narrow"/>
        <family val="2"/>
      </rPr>
      <t>Ehrenamt o.ä.</t>
    </r>
  </si>
  <si>
    <t>Notwendige Daten zur Änderung des Anspruchs</t>
  </si>
  <si>
    <t>Bedarf neu</t>
  </si>
  <si>
    <t>Einkommen neu</t>
  </si>
  <si>
    <t xml:space="preserve">        Verteilung nach Leistungen zur Sicherung des Lebensunterhalts und Unterkunftskosten</t>
  </si>
  <si>
    <t>Sicherung des Lebensunterhalts</t>
  </si>
  <si>
    <t>./. Minderung wegen Sanktion</t>
  </si>
  <si>
    <t>./. zu berücksichtigendes Einkommen</t>
  </si>
  <si>
    <t>Bedarf Lebensunterhalt (Bund)</t>
  </si>
  <si>
    <t>Kosten für Unterkunft und Heizung</t>
  </si>
  <si>
    <t>./. Einkommensüberhang</t>
  </si>
  <si>
    <t>Unterkunftkosten (Kommune)</t>
  </si>
  <si>
    <t xml:space="preserve">                                           Erstattung ALG II (Aufteilung nach Bund und Kreis)</t>
  </si>
  <si>
    <t>Name:</t>
  </si>
  <si>
    <t>1. Verteilung nach Leistungen zur Sicherung des Lebensunterhalts und Unterkunftskosten bisher</t>
  </si>
  <si>
    <t>2. Verteilung nach Leistungen zur Sicherung des Lebensunterhalts und Unterkunftskosten neu</t>
  </si>
  <si>
    <t>3. Erstattung ALG II (Aufteilung nach Bund und Kreis)</t>
  </si>
  <si>
    <t>Anspruch bisher</t>
  </si>
  <si>
    <t>Änderung</t>
  </si>
  <si>
    <t>Kosten Bund bisher</t>
  </si>
  <si>
    <t>Kosten Bund neu</t>
  </si>
  <si>
    <t>Erstattung Bund</t>
  </si>
  <si>
    <t>Kosten Kreis bisher</t>
  </si>
  <si>
    <t>Kosten Kreis neu</t>
  </si>
  <si>
    <t>Erstattung Kreis</t>
  </si>
  <si>
    <t xml:space="preserve">     Erstattung ALG II (Aufteilung nach Bund und Kreis)</t>
  </si>
  <si>
    <t xml:space="preserve">     Verteilung nach Leistungen zur Sicherung des Lebensunterhalts und Unterkunftskosten neu</t>
  </si>
  <si>
    <t>Sicherung des Lebensunterhaltes</t>
  </si>
  <si>
    <t>ggf. Einkommensüberhang</t>
  </si>
  <si>
    <t>Unterkunftskosten (Kommune)</t>
  </si>
  <si>
    <t xml:space="preserve">                           Berechnung Arbeitslosengeld II und Sozialgeld nach Änderung</t>
  </si>
  <si>
    <t>Leistungsanspruch neu</t>
  </si>
  <si>
    <r>
      <t xml:space="preserve">minderjähriges Kind </t>
    </r>
    <r>
      <rPr>
        <b/>
        <sz val="12"/>
        <rFont val="Arial Narrow"/>
        <family val="2"/>
      </rPr>
      <t>außerhalb der BG</t>
    </r>
    <r>
      <rPr>
        <sz val="12"/>
        <rFont val="Arial Narrow"/>
        <family val="2"/>
      </rPr>
      <t xml:space="preserve"> vorhanden</t>
    </r>
  </si>
  <si>
    <t xml:space="preserve"> ab 1000,01 €</t>
  </si>
  <si>
    <t>Art der Erkrankung</t>
  </si>
  <si>
    <t>Krankenkosten / Kostform</t>
  </si>
  <si>
    <t>Krankenkostenzulagen</t>
  </si>
  <si>
    <t>Erläuterung</t>
  </si>
  <si>
    <t>in % d. RB</t>
  </si>
  <si>
    <t>in EUR</t>
  </si>
  <si>
    <t>Mehrbedarf aufgrund einer verzehrenden Krankheit</t>
  </si>
  <si>
    <t>Eiweißdefinierte Kost</t>
  </si>
  <si>
    <t>Dialysediät</t>
  </si>
  <si>
    <t>Zöliakie / Sprue (Durchfallerkrankung bedingt durch Überempflindlichkeit gegenüber Klebereiweiß)</t>
  </si>
  <si>
    <t>Glutenfreie Kost</t>
  </si>
  <si>
    <t>Der Höhe nach sind Abweichungen in besonders gelagerten Einzelfällen möglich.</t>
  </si>
  <si>
    <t>Mehrbedarf Ernährung</t>
  </si>
  <si>
    <t>in Euro</t>
  </si>
  <si>
    <t>Krebs (bösartiger Tumor)*</t>
  </si>
  <si>
    <t>HIV-Infektion / AIDS*</t>
  </si>
  <si>
    <t>Multiple Sklerose (degenerative Erkrankung des Zentralnervensystems, häufig schubweise verlaufend)*</t>
  </si>
  <si>
    <t>Colitis ulcerosa (mit Geschwürsbildungen einhergehende Erkrankung der Dickdarmschleimhaut)*</t>
  </si>
  <si>
    <t>Morbus Crohn (Erkrankung des Magen-Darmtrakts mit Neigung zur Bildung von Fisteln und Verengungen)*</t>
  </si>
  <si>
    <t xml:space="preserve">* Ein krankheitsbedingter Mehrbedarf für kostenaufwändigere Ernährung ist in der Regel nur </t>
  </si>
  <si>
    <t>Liste Ernährung</t>
  </si>
  <si>
    <t>zurück</t>
  </si>
  <si>
    <t>bei schweren Verläufen oder dem Vorliegen besonderer Umstände zu bejahen.</t>
  </si>
  <si>
    <t>erstellt:</t>
  </si>
  <si>
    <t>z.B. freiwilliger KV/PV-Beitrag bei Ablehnung</t>
  </si>
  <si>
    <t>erwerbsfähig</t>
  </si>
  <si>
    <t>./. Kostenanteil für Haushaltsstrom</t>
  </si>
  <si>
    <t>Gewinn aus selbständiger Tätigkeit</t>
  </si>
  <si>
    <t>tatsächliche Fahrtkosten</t>
  </si>
  <si>
    <t>sonstige Werbungskosten eLB, z.B. Gewerkschaft</t>
  </si>
  <si>
    <r>
      <t xml:space="preserve">sonstige Werbungskosten </t>
    </r>
    <r>
      <rPr>
        <b/>
        <sz val="12"/>
        <rFont val="Arial Narrow"/>
        <family val="2"/>
      </rPr>
      <t>eLB</t>
    </r>
    <r>
      <rPr>
        <sz val="12"/>
        <rFont val="Arial Narrow"/>
        <family val="2"/>
      </rPr>
      <t>, z.B. Gewerkschaft</t>
    </r>
  </si>
  <si>
    <t>Arbeitstage im Monat (nur bei erwerbsfähig LB)</t>
  </si>
  <si>
    <r>
      <t xml:space="preserve">Arbeitstage im Monat (bei </t>
    </r>
    <r>
      <rPr>
        <i/>
        <sz val="12"/>
        <rFont val="Arial Narrow"/>
        <family val="2"/>
      </rPr>
      <t>erwerbsfähigen</t>
    </r>
    <r>
      <rPr>
        <sz val="12"/>
        <rFont val="Arial Narrow"/>
        <family val="2"/>
      </rPr>
      <t xml:space="preserve"> LB)</t>
    </r>
  </si>
  <si>
    <t>1 Kind</t>
  </si>
  <si>
    <t>2 Kinder</t>
  </si>
  <si>
    <t>3 Kinder</t>
  </si>
  <si>
    <t>Kindergeld - Anteil pro Kopf</t>
  </si>
  <si>
    <t>4 Kinder</t>
  </si>
  <si>
    <t>5 Kinder</t>
  </si>
  <si>
    <t>Kinder unter 6 Jahren</t>
  </si>
  <si>
    <t>Kinder unter 12 Jahren</t>
  </si>
  <si>
    <t>Prüfung Werbungskosten</t>
  </si>
  <si>
    <t xml:space="preserve">monatliches SV-Brutto </t>
  </si>
  <si>
    <t>zulageberechtigte Kinder im Haushalt des LB</t>
  </si>
  <si>
    <t>geförderter Altersvorsorgevertrag</t>
  </si>
  <si>
    <t>Entfernung Wohnung - Schule</t>
  </si>
  <si>
    <t>sonstige Kosten, z.B. Ausbildungsmaterial</t>
  </si>
  <si>
    <r>
      <t>Schultage im Monat</t>
    </r>
    <r>
      <rPr>
        <sz val="8.5"/>
        <rFont val="Arial Narrow"/>
        <family val="2"/>
      </rPr>
      <t xml:space="preserve"> (sofern nicht bereits bei Ausbildungsvergütung)</t>
    </r>
  </si>
  <si>
    <t>nachgewiesene notwendige Ausgaben für die Einnahmen Kindergeld bis sonstiges Einkommen</t>
  </si>
  <si>
    <t>Grundfreibetrag</t>
  </si>
  <si>
    <t>notwendige Ausgaben</t>
  </si>
  <si>
    <r>
      <t xml:space="preserve">Leistungen der Ausbildungsförderung </t>
    </r>
    <r>
      <rPr>
        <b/>
        <u/>
        <sz val="12"/>
        <color rgb="FFFF0000"/>
        <rFont val="Arial Narrow"/>
        <family val="2"/>
      </rPr>
      <t>(bitte auswählen)</t>
    </r>
  </si>
  <si>
    <r>
      <t>oder Monatsfahrkarte</t>
    </r>
    <r>
      <rPr>
        <sz val="8.5"/>
        <rFont val="Arial Narrow"/>
        <family val="2"/>
      </rPr>
      <t xml:space="preserve"> (sofern nicht bereits bei Ausbildungsvergütung)</t>
    </r>
  </si>
  <si>
    <t>Kinder unter 18 Jahren</t>
  </si>
  <si>
    <t>Ergebnis: siehe Arbeitsblatt "Berechnung"</t>
  </si>
  <si>
    <t>Minderung wegen Meldeversäumnis § 32 SGB II</t>
  </si>
  <si>
    <t>Minderung wegen Pflichtverletzung § 31 SGB II</t>
  </si>
  <si>
    <t>maßgebliches Alter während der Pflichtverletzung</t>
  </si>
  <si>
    <t>Versicherungsbeiträge bei Krankheit/Alter; ZVK-Beitrag</t>
  </si>
  <si>
    <t>Berechnung Höhe Lebensmittelgutschein wegen Sanktion</t>
  </si>
  <si>
    <t>Im Auftrag:</t>
  </si>
  <si>
    <r>
      <t xml:space="preserve">Höhe der Sanktion </t>
    </r>
    <r>
      <rPr>
        <b/>
        <sz val="11"/>
        <rFont val="Arial Narrow"/>
        <family val="2"/>
      </rPr>
      <t>(Minderung Regelbedarf)</t>
    </r>
  </si>
  <si>
    <t>in Prozent</t>
  </si>
  <si>
    <t>verbleibender Regelbedarf</t>
  </si>
  <si>
    <t>Gutschein*</t>
  </si>
  <si>
    <t>verfügbare Leistung</t>
  </si>
  <si>
    <t>Differenz zu 30 Prozent</t>
  </si>
  <si>
    <r>
      <rPr>
        <u/>
        <sz val="12"/>
        <rFont val="Arial Narrow"/>
        <family val="2"/>
      </rPr>
      <t>Ermittlungsgröße</t>
    </r>
    <r>
      <rPr>
        <sz val="12"/>
        <rFont val="Arial Narrow"/>
        <family val="2"/>
      </rPr>
      <t>: halber Regelbedarf eines Alleinstehenden*</t>
    </r>
  </si>
  <si>
    <t>Fehlbetrag zur Ermittlungsgröße</t>
  </si>
  <si>
    <t>Hinweis:</t>
  </si>
  <si>
    <t>Sanktionszeitraum:</t>
  </si>
  <si>
    <t>3 Monate</t>
  </si>
  <si>
    <t>6 Wochen</t>
  </si>
  <si>
    <t>Gesamtgutscheinhöhe im Monat*</t>
  </si>
  <si>
    <t>Berechnungshilfe zur Ermittlung eines anteiligen Wertes</t>
  </si>
  <si>
    <t>Betrag</t>
  </si>
  <si>
    <t>gültig vom</t>
  </si>
  <si>
    <t>gültig bis</t>
  </si>
  <si>
    <t>Berechnungssatz</t>
  </si>
  <si>
    <t>Tage</t>
  </si>
  <si>
    <t>Betrag anteilig</t>
  </si>
  <si>
    <t>Steuererstattung</t>
  </si>
  <si>
    <t>1. nicht aus Erwerbstätigkeit</t>
  </si>
  <si>
    <t>2. aus Erwerbstätigkeit</t>
  </si>
  <si>
    <t>Weihnachtsgeld brutto</t>
  </si>
  <si>
    <t>Weihnachtsgeld netto</t>
  </si>
  <si>
    <t>nachgewiesene notwendige Ausgaben</t>
  </si>
  <si>
    <t>1. Berechnung einmalige Einnahmen</t>
  </si>
  <si>
    <t>Berechnung Einmalzahlung aus Erwerbstätigkeit</t>
  </si>
  <si>
    <t>Einmalzahlung</t>
  </si>
  <si>
    <t>./. Freibetrag</t>
  </si>
  <si>
    <t>: 6 Monate</t>
  </si>
  <si>
    <t>Berechnung Erwerbstätigenfreibeträge</t>
  </si>
  <si>
    <t>Berechnung Erwerbstätigenfreibeträge mit Einmalzahlung aus Erwerbstätigkeit</t>
  </si>
  <si>
    <t>Berechnung Sonstige Einmalzahlungen</t>
  </si>
  <si>
    <t>Unterschied</t>
  </si>
  <si>
    <t>./. Ausgaben</t>
  </si>
  <si>
    <t>Berechnung anrechenbares 2. Erwerbseinkommen anderer Entstehungsmonat</t>
  </si>
  <si>
    <t>./. Grundfreibetrag</t>
  </si>
  <si>
    <t>./. Erwerbstätigenfreibetrag</t>
  </si>
  <si>
    <t>anrechenbares Erwerbseinkommen</t>
  </si>
  <si>
    <t>Berechnung Erwerbstätigenfreibeträge aus 2. Erwerbseinkommen anderer Entstehungsmonat</t>
  </si>
  <si>
    <t>2. Berechnung anrechenbares Erwerbseinkommen anderer Entstehungsmonat</t>
  </si>
  <si>
    <t>1.1 Eingaben</t>
  </si>
  <si>
    <t>1.2 Ergebnis</t>
  </si>
  <si>
    <t>verbleiben</t>
  </si>
  <si>
    <t>Berechnung siehe nächstes Tabellenblatt!</t>
  </si>
  <si>
    <r>
      <t>Anzahl der weiteren Personen im Haushalt</t>
    </r>
    <r>
      <rPr>
        <sz val="9"/>
        <rFont val="Arial Narrow"/>
        <family val="2"/>
      </rPr>
      <t xml:space="preserve"> (z.B. Großeltern)</t>
    </r>
  </si>
  <si>
    <r>
      <t xml:space="preserve">maßgebliches Alter </t>
    </r>
    <r>
      <rPr>
        <b/>
        <sz val="12"/>
        <rFont val="Arial Narrow"/>
        <family val="2"/>
      </rPr>
      <t>während</t>
    </r>
    <r>
      <rPr>
        <sz val="12"/>
        <rFont val="Arial Narrow"/>
        <family val="2"/>
      </rPr>
      <t xml:space="preserve"> der Pflichtverletzung</t>
    </r>
  </si>
  <si>
    <t>Berechnung anzeigen</t>
  </si>
  <si>
    <t>*) Beträge aufgerundet</t>
  </si>
  <si>
    <t>Private Krankenversicherung</t>
  </si>
  <si>
    <t>1/2</t>
  </si>
  <si>
    <t>Max. Beitrag Basistarif KV</t>
  </si>
  <si>
    <t>Max. Beitrag priv. PV</t>
  </si>
  <si>
    <t>Berechnung Arbeitslosengeld II und Sozialgeld mit Einmalzahlung</t>
  </si>
  <si>
    <t>Kranken- und Pflegeversicherung (§ 26)</t>
  </si>
  <si>
    <t>Beitrag im (fiktiven) Basistarif</t>
  </si>
  <si>
    <t>Beitrag in einem anderen Tarif</t>
  </si>
  <si>
    <t>halbierter Beitrag im Basistarif</t>
  </si>
  <si>
    <t>maßgebender Betrag</t>
  </si>
  <si>
    <t>Private Pflegeversicherung</t>
  </si>
  <si>
    <t>halbierter Höchstbeitrag</t>
  </si>
  <si>
    <t xml:space="preserve">   Notwendige Daten zur Berechnung des Zuschusses zu den Versicherungsbeiträgen</t>
  </si>
  <si>
    <r>
      <t xml:space="preserve">Beitrag zur privaten </t>
    </r>
    <r>
      <rPr>
        <b/>
        <sz val="12"/>
        <rFont val="Arial Narrow"/>
        <family val="2"/>
      </rPr>
      <t>Pflege</t>
    </r>
    <r>
      <rPr>
        <sz val="12"/>
        <rFont val="Arial Narrow"/>
        <family val="2"/>
      </rPr>
      <t>versicherung</t>
    </r>
  </si>
  <si>
    <r>
      <t xml:space="preserve">Beitrag zur </t>
    </r>
    <r>
      <rPr>
        <b/>
        <sz val="12"/>
        <rFont val="Arial Narrow"/>
        <family val="2"/>
      </rPr>
      <t>Pflege</t>
    </r>
    <r>
      <rPr>
        <sz val="12"/>
        <rFont val="Arial Narrow"/>
        <family val="2"/>
      </rPr>
      <t>versicherung</t>
    </r>
  </si>
  <si>
    <t>Beiträge zur privaten Altersvorsorge; ZVK-Beitrag</t>
  </si>
  <si>
    <t>Gesetzliche Krankenversicherung</t>
  </si>
  <si>
    <t>Pflichtbeitrag zur gesetzlichen Krankenversicherung</t>
  </si>
  <si>
    <t>Freiwilliger Beitrag zur gesetzlichen Krankenversicherung</t>
  </si>
  <si>
    <t>Gesetzliche Pflegeversicherung</t>
  </si>
  <si>
    <r>
      <rPr>
        <b/>
        <sz val="12"/>
        <rFont val="Arial Narrow"/>
        <family val="2"/>
      </rPr>
      <t>Freiwilliger</t>
    </r>
    <r>
      <rPr>
        <sz val="12"/>
        <rFont val="Arial Narrow"/>
        <family val="2"/>
      </rPr>
      <t xml:space="preserve"> Beitrag zur gesetzlichen Krankenversicherung</t>
    </r>
  </si>
  <si>
    <r>
      <rPr>
        <b/>
        <sz val="12"/>
        <rFont val="Arial Narrow"/>
        <family val="2"/>
      </rPr>
      <t>Pflichtbeitrag</t>
    </r>
    <r>
      <rPr>
        <sz val="12"/>
        <rFont val="Arial Narrow"/>
        <family val="2"/>
      </rPr>
      <t xml:space="preserve"> zur gesetzlichen Krankenversicherung</t>
    </r>
  </si>
  <si>
    <t>Beitrag zur Pflegeversicherung</t>
  </si>
  <si>
    <r>
      <t xml:space="preserve">Beitragszuschuss zur KV </t>
    </r>
    <r>
      <rPr>
        <sz val="10"/>
        <rFont val="Arial Narrow"/>
        <family val="2"/>
      </rPr>
      <t>(z.B. von der Rentenversicherung)</t>
    </r>
  </si>
  <si>
    <r>
      <t>Beitragszuschuss zur PV</t>
    </r>
    <r>
      <rPr>
        <sz val="10"/>
        <rFont val="Arial Narrow"/>
        <family val="2"/>
      </rPr>
      <t xml:space="preserve"> (z.B. von der Rentenversicherung)</t>
    </r>
  </si>
  <si>
    <r>
      <t>Zuschuss</t>
    </r>
    <r>
      <rPr>
        <sz val="13"/>
        <rFont val="Arial Narrow"/>
        <family val="2"/>
      </rPr>
      <t xml:space="preserve"> zur gesetzlichen Krankenversicherung</t>
    </r>
  </si>
  <si>
    <r>
      <t>Zuschuss</t>
    </r>
    <r>
      <rPr>
        <sz val="13"/>
        <rFont val="Arial Narrow"/>
        <family val="2"/>
      </rPr>
      <t xml:space="preserve"> zur gesetzlichen Pflegeversicherung</t>
    </r>
  </si>
  <si>
    <t xml:space="preserve">   Berechnung Zuschuss zu Versicherungsbeiträgen nach § 26 SGB II</t>
  </si>
  <si>
    <t>©  MEichler, Stand: 01.01.2017</t>
  </si>
  <si>
    <r>
      <t>Zuschuss</t>
    </r>
    <r>
      <rPr>
        <sz val="13"/>
        <rFont val="Arial Narrow"/>
        <family val="2"/>
      </rPr>
      <t xml:space="preserve"> zur privaten Krankenversicherung</t>
    </r>
  </si>
  <si>
    <r>
      <t xml:space="preserve">Zuschuss </t>
    </r>
    <r>
      <rPr>
        <sz val="13"/>
        <rFont val="Arial Narrow"/>
        <family val="2"/>
      </rPr>
      <t>zur privaten Pflegeversicherung</t>
    </r>
  </si>
  <si>
    <t>tatsächlicher Pflegeversicherungsbeitrag</t>
  </si>
  <si>
    <r>
      <t xml:space="preserve">Kommentare beachten und Einkommen im </t>
    </r>
    <r>
      <rPr>
        <b/>
        <i/>
        <sz val="10"/>
        <color rgb="FFFF0000"/>
        <rFont val="Arial Narrow"/>
        <family val="2"/>
      </rPr>
      <t>Arbeitsblatt "Eingaben"</t>
    </r>
    <r>
      <rPr>
        <i/>
        <sz val="10"/>
        <rFont val="Arial Narrow"/>
        <family val="2"/>
      </rPr>
      <t xml:space="preserve"> erfassen!</t>
    </r>
  </si>
  <si>
    <r>
      <t xml:space="preserve">bei Berücksichtigung der Beiträge als Einkommen siehe auch </t>
    </r>
    <r>
      <rPr>
        <b/>
        <i/>
        <sz val="10"/>
        <color rgb="FFFF0000"/>
        <rFont val="Arial Narrow"/>
        <family val="2"/>
      </rPr>
      <t>Arbeitsblatt Berechnung!</t>
    </r>
  </si>
  <si>
    <t>Niereninsuffizienz (Nierenversagen)</t>
  </si>
  <si>
    <t>Niereninsuffizienz mit Hämo-dialysebehandlung</t>
  </si>
  <si>
    <t>Direktabzug: z.B. notwendige Ausgaben für die Einnahmen Kindergeld bis sonstiges Einkommen</t>
  </si>
  <si>
    <t>Notwendige Daten zur Berechnung des SGB II Anspruchs</t>
  </si>
  <si>
    <t>Wohnverhältnis</t>
  </si>
  <si>
    <r>
      <t xml:space="preserve">Notwendige </t>
    </r>
    <r>
      <rPr>
        <b/>
        <sz val="18"/>
        <color rgb="FF92D050"/>
        <rFont val="Arial Narrow"/>
        <family val="2"/>
      </rPr>
      <t>zusätzliche</t>
    </r>
    <r>
      <rPr>
        <b/>
        <sz val="18"/>
        <color indexed="9"/>
        <rFont val="Arial Narrow"/>
        <family val="2"/>
      </rPr>
      <t xml:space="preserve"> Daten zur Berechnung eines möglichen Wohngeldanspruchs</t>
    </r>
  </si>
  <si>
    <r>
      <rPr>
        <b/>
        <sz val="12"/>
        <rFont val="Arial Narrow"/>
        <family val="2"/>
      </rPr>
      <t>Brutto</t>
    </r>
    <r>
      <rPr>
        <sz val="12"/>
        <rFont val="Arial Narrow"/>
        <family val="2"/>
      </rPr>
      <t>arbeitslohn</t>
    </r>
    <r>
      <rPr>
        <b/>
        <sz val="12"/>
        <rFont val="Arial Narrow"/>
        <family val="2"/>
      </rPr>
      <t xml:space="preserve"> jährlich</t>
    </r>
    <r>
      <rPr>
        <sz val="12"/>
        <rFont val="Arial Narrow"/>
        <family val="2"/>
      </rPr>
      <t xml:space="preserve"> (einschl. Einmalzahlungen)</t>
    </r>
  </si>
  <si>
    <t>I</t>
  </si>
  <si>
    <r>
      <rPr>
        <b/>
        <sz val="12"/>
        <rFont val="Arial Narrow"/>
        <family val="2"/>
      </rPr>
      <t>Brutto</t>
    </r>
    <r>
      <rPr>
        <sz val="12"/>
        <rFont val="Arial Narrow"/>
        <family val="2"/>
      </rPr>
      <t xml:space="preserve">lohn </t>
    </r>
    <r>
      <rPr>
        <b/>
        <sz val="12"/>
        <rFont val="Arial Narrow"/>
        <family val="2"/>
      </rPr>
      <t>jährlich</t>
    </r>
    <r>
      <rPr>
        <sz val="12"/>
        <rFont val="Arial Narrow"/>
        <family val="2"/>
      </rPr>
      <t xml:space="preserve"> aus </t>
    </r>
    <r>
      <rPr>
        <b/>
        <sz val="12"/>
        <rFont val="Arial Narrow"/>
        <family val="2"/>
      </rPr>
      <t>geringfügiger</t>
    </r>
    <r>
      <rPr>
        <sz val="12"/>
        <rFont val="Arial Narrow"/>
        <family val="2"/>
      </rPr>
      <t xml:space="preserve"> Beschäftigung</t>
    </r>
  </si>
  <si>
    <r>
      <rPr>
        <b/>
        <sz val="12"/>
        <rFont val="Arial Narrow"/>
        <family val="2"/>
      </rPr>
      <t>Brutto</t>
    </r>
    <r>
      <rPr>
        <sz val="12"/>
        <rFont val="Arial Narrow"/>
        <family val="2"/>
      </rPr>
      <t>rente monatlich</t>
    </r>
  </si>
  <si>
    <r>
      <rPr>
        <b/>
        <sz val="12"/>
        <rFont val="Arial Narrow"/>
        <family val="2"/>
      </rPr>
      <t>Zuschuss</t>
    </r>
    <r>
      <rPr>
        <sz val="12"/>
        <rFont val="Arial Narrow"/>
        <family val="2"/>
      </rPr>
      <t xml:space="preserve"> nach BAföG oder AFBG monatlich</t>
    </r>
  </si>
  <si>
    <t>Steuern</t>
  </si>
  <si>
    <t>Beiträge zur Krankenversicherung</t>
  </si>
  <si>
    <t>Beiträge zur Rentenversicherung</t>
  </si>
  <si>
    <t>Schwerbehindert (100%)</t>
  </si>
  <si>
    <t>Schwerbehindert (mind. 50%) und mind. Pflegestufe I</t>
  </si>
  <si>
    <t>Miete</t>
  </si>
  <si>
    <t>Berechnung eines möglichen Wohngeldanspruchs</t>
  </si>
  <si>
    <t>Mietenstufe</t>
  </si>
  <si>
    <t>Höchstbetrag nach § 12 WoGG</t>
  </si>
  <si>
    <t>Personen</t>
  </si>
  <si>
    <t>Mietenstufe I</t>
  </si>
  <si>
    <t>Mietenstufe II</t>
  </si>
  <si>
    <t>Mietenstufe III</t>
  </si>
  <si>
    <t>Mietenstufe IV</t>
  </si>
  <si>
    <t>Mietenstufe V</t>
  </si>
  <si>
    <t>Mietenstufe VI</t>
  </si>
  <si>
    <t>II</t>
  </si>
  <si>
    <t>III</t>
  </si>
  <si>
    <t>IV</t>
  </si>
  <si>
    <t>V</t>
  </si>
  <si>
    <t>VI</t>
  </si>
  <si>
    <t>Wohnort</t>
  </si>
  <si>
    <t>mögliches Wohngeld</t>
  </si>
  <si>
    <t>verbleibendes Jahreseinkommen</t>
  </si>
  <si>
    <t>Gesamteinkommen</t>
  </si>
  <si>
    <t>Jahreseinkommen</t>
  </si>
  <si>
    <t>monatlich</t>
  </si>
  <si>
    <t>a</t>
  </si>
  <si>
    <t>b</t>
  </si>
  <si>
    <t>c</t>
  </si>
  <si>
    <t>Mindestwerte</t>
  </si>
  <si>
    <t>M</t>
  </si>
  <si>
    <t>Y</t>
  </si>
  <si>
    <t>1. Rechenschritt</t>
  </si>
  <si>
    <t>M tatsächlich</t>
  </si>
  <si>
    <t>Y tatsächlich</t>
  </si>
  <si>
    <t>2. Rechenschritt</t>
  </si>
  <si>
    <t>3. Rechenschritt</t>
  </si>
  <si>
    <t>4. Rechenschritt</t>
  </si>
  <si>
    <t>UVG</t>
  </si>
  <si>
    <t>SGB II Anspruch in Höhe von</t>
  </si>
  <si>
    <t>Leistungsanspruch SGB II</t>
  </si>
  <si>
    <t>SGB II Anspruch</t>
  </si>
  <si>
    <t>Prüfschritte</t>
  </si>
  <si>
    <t>Anspruch auf Kindergeld</t>
  </si>
  <si>
    <t>Kinderzuschlag</t>
  </si>
  <si>
    <t>Kinder</t>
  </si>
  <si>
    <t>Alleinerziehend</t>
  </si>
  <si>
    <t>Elternanteil KdU</t>
  </si>
  <si>
    <t>Einkommen der Eltern</t>
  </si>
  <si>
    <t>zu berücksichtigendes Einkommen</t>
  </si>
  <si>
    <t>des Kindes</t>
  </si>
  <si>
    <t>Bemessungsgrenze der Eltern</t>
  </si>
  <si>
    <t>Regelbedarfe</t>
  </si>
  <si>
    <t>Mehrbedarfe</t>
  </si>
  <si>
    <t>Kosten der Unterkunft und Heizung</t>
  </si>
  <si>
    <t>Summe</t>
  </si>
  <si>
    <t>ungeminderter Kinderzuschlag</t>
  </si>
  <si>
    <t>Mindesteinkommensgrenze der Eltern</t>
  </si>
  <si>
    <t>tatsächliches Einkommen der Eltern</t>
  </si>
  <si>
    <t>verbleibender Kinderzuschlag</t>
  </si>
  <si>
    <t>Höchsteinkommensgrenze der Eltern</t>
  </si>
  <si>
    <t>Bemessungsgrenze</t>
  </si>
  <si>
    <t>Kinderzuschlag (ungem.)</t>
  </si>
  <si>
    <t>Erwerbseinkommen der Eltern</t>
  </si>
  <si>
    <t>Sonstiges Einkommen der Eltern</t>
  </si>
  <si>
    <t xml:space="preserve">Anspruch auf Kinderzuschlag </t>
  </si>
  <si>
    <t>./. Einkommen, um das KiZ zu kürzen ist</t>
  </si>
  <si>
    <t>übersteigendes Einkommen der Eltern</t>
  </si>
  <si>
    <t>Anspruch nach SGB II</t>
  </si>
  <si>
    <t>Berechnung SGB II Anspruch</t>
  </si>
  <si>
    <t>Möglicher Anspruch auf Kinderzuschlag</t>
  </si>
  <si>
    <t>möglicher Kinderzuschlag</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</si>
  <si>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</si>
  <si>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</si>
  <si>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</si>
  <si>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</si>
  <si>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</si>
  <si>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</si>
  <si>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</si>
  <si>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</si>
  <si>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</si>
  <si>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</si>
  <si>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</si>
  <si>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</si>
  <si>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</si>
  <si>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</si>
  <si>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</si>
  <si>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</si>
  <si>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Gemeinde</t>
  </si>
  <si>
    <t>Aalen, Stadt</t>
  </si>
  <si>
    <t>Abensberg, Stadt</t>
  </si>
  <si>
    <t>Berlin, Stadt</t>
  </si>
  <si>
    <t>Ahrensfelde</t>
  </si>
  <si>
    <t>Bremen, Stadt</t>
  </si>
  <si>
    <t>Hamburg, Freie und Hansestadt</t>
  </si>
  <si>
    <t>Anklam, Stadt</t>
  </si>
  <si>
    <t>Achim, Stadt</t>
  </si>
  <si>
    <t>Aachen, Stadt</t>
  </si>
  <si>
    <t>Alzey, Stadt</t>
  </si>
  <si>
    <t>Beckingen</t>
  </si>
  <si>
    <t>Annaberg-Buchholz, Stadt</t>
  </si>
  <si>
    <t>Aschersleben, Stadt</t>
  </si>
  <si>
    <t>Ahrensburg, Stadt</t>
  </si>
  <si>
    <t>Altenburg, Stadt</t>
  </si>
  <si>
    <t>Achern, Stadt</t>
  </si>
  <si>
    <t>Aichach, Stadt</t>
  </si>
  <si>
    <t>Angermünde, Stadt</t>
  </si>
  <si>
    <t>Bremerhaven</t>
  </si>
  <si>
    <t>Bad Doberan, Stadt</t>
  </si>
  <si>
    <t>Adendorf</t>
  </si>
  <si>
    <t>Ahaus, Stadt</t>
  </si>
  <si>
    <t>Andernach, Stadt</t>
  </si>
  <si>
    <t>Bexbach, Stadt</t>
  </si>
  <si>
    <t>Aue, Stadt</t>
  </si>
  <si>
    <t>Bad Dürrenberg, Stadt</t>
  </si>
  <si>
    <t>Bad Bramstedt, Stadt</t>
  </si>
  <si>
    <t>Apolda, Stadt</t>
  </si>
  <si>
    <t>Albstadt, Stadt</t>
  </si>
  <si>
    <t>Altdorf, Markt</t>
  </si>
  <si>
    <t>Bad Belzig</t>
  </si>
  <si>
    <t>Bergen auf Rügen, Stadt</t>
  </si>
  <si>
    <t>Aerzen, Flecken</t>
  </si>
  <si>
    <t>Ahlen, Stadt</t>
  </si>
  <si>
    <t>Bad Dürkheim, Stadt</t>
  </si>
  <si>
    <t>Blieskastel, Stadt</t>
  </si>
  <si>
    <t>Auerbach/Vogtland, Stadt</t>
  </si>
  <si>
    <t>Bernburg (Saale), Stadt</t>
  </si>
  <si>
    <t>Bad Oldesloe, Stadt</t>
  </si>
  <si>
    <t>Arnstadt, Stadt</t>
  </si>
  <si>
    <t>Altensteig, Stadt</t>
  </si>
  <si>
    <t>Altdorf bei Nürnberg, Stadt</t>
  </si>
  <si>
    <t>Bad Freienwalde (Oder), Stadt</t>
  </si>
  <si>
    <t>Boizenburg/Elbe, Stadt</t>
  </si>
  <si>
    <t>Alfeld (Leine), Stadt</t>
  </si>
  <si>
    <t>Aldenhoven</t>
  </si>
  <si>
    <t>Bad Kreuznach, Stadt</t>
  </si>
  <si>
    <t>Dillingen/Saar, Stadt</t>
  </si>
  <si>
    <t>Bannewitz</t>
  </si>
  <si>
    <t>Bitterfeld-Wolfen, Stadt</t>
  </si>
  <si>
    <t>Bad Schwartau, Stadt</t>
  </si>
  <si>
    <t>Bad Langensalza, Stadt</t>
  </si>
  <si>
    <t>Ammerbuch</t>
  </si>
  <si>
    <t>Altötting, Stadt</t>
  </si>
  <si>
    <t>Beelitz, Stadt</t>
  </si>
  <si>
    <t>Demmin, Hansestadt</t>
  </si>
  <si>
    <t>Apen</t>
  </si>
  <si>
    <t>Alfter</t>
  </si>
  <si>
    <t>Bad Neuenahr-Ahrweiler, Stadt</t>
  </si>
  <si>
    <t>Eppelborn</t>
  </si>
  <si>
    <t>Bautzen, Stadt</t>
  </si>
  <si>
    <t>Blankenburg (Harz), Stadt</t>
  </si>
  <si>
    <t>Bad Segeberg, Stadt</t>
  </si>
  <si>
    <t>Bad Salzungen, Stadt</t>
  </si>
  <si>
    <t>Asperg, Stadt</t>
  </si>
  <si>
    <t>Alzenau i. Unterfranken, Stadt</t>
  </si>
  <si>
    <t>Bernau bei Berlin, Stadt</t>
  </si>
  <si>
    <t>Greifswald, Hansestadt</t>
  </si>
  <si>
    <t>Aurich, Stadt</t>
  </si>
  <si>
    <t>Alpen</t>
  </si>
  <si>
    <t>Bendorf, Stadt</t>
  </si>
  <si>
    <t>Friedrichsthal, Stadt</t>
  </si>
  <si>
    <t>Bischofswerda, Stadt</t>
  </si>
  <si>
    <t>Braunsbedra, Stadt</t>
  </si>
  <si>
    <t>Bargteheide, Stadt</t>
  </si>
  <si>
    <t>Eisenach, Stadt</t>
  </si>
  <si>
    <t>Backnang, Stadt</t>
  </si>
  <si>
    <t>Amberg, Stadt</t>
  </si>
  <si>
    <t>Blankenfelde-Mahlow</t>
  </si>
  <si>
    <t>Grevesmühlen, Stadt</t>
  </si>
  <si>
    <t>Bad Bentheim, Stadt</t>
  </si>
  <si>
    <t>Alsdorf, Stadt</t>
  </si>
  <si>
    <t>Bingen am Rhein, Stadt</t>
  </si>
  <si>
    <t>Heusweiler</t>
  </si>
  <si>
    <t>Borna, Stadt</t>
  </si>
  <si>
    <t>Burg, Stadt</t>
  </si>
  <si>
    <t>Barmstedt</t>
  </si>
  <si>
    <t>Eisenberg, Stadt</t>
  </si>
  <si>
    <t>Bad Dürrheim, Stadt</t>
  </si>
  <si>
    <t>Ansbach, Stadt</t>
  </si>
  <si>
    <t>Brandenburg a. d. Havel, Stadt</t>
  </si>
  <si>
    <t>Güstrow, Stadt</t>
  </si>
  <si>
    <t>Bad Essen</t>
  </si>
  <si>
    <t>Altena, Stadt</t>
  </si>
  <si>
    <t>Bitburg, Stadt</t>
  </si>
  <si>
    <t>Homburg, Kreisstadt</t>
  </si>
  <si>
    <t>Burgstädt, Stadt</t>
  </si>
  <si>
    <t>Coswig (Anhalt), Stadt</t>
  </si>
  <si>
    <t>Barsbüttel</t>
  </si>
  <si>
    <t>Erfurt, Stadt</t>
  </si>
  <si>
    <t>Bad Friedrichshall, Stadt</t>
  </si>
  <si>
    <t>Aschaffenburg, Stadt</t>
  </si>
  <si>
    <t>Brieselang</t>
  </si>
  <si>
    <t>Hagenow, Stadt</t>
  </si>
  <si>
    <t>Bad Fallingbostel, Stadt</t>
  </si>
  <si>
    <t>Altenberge</t>
  </si>
  <si>
    <t>Böhl-Iggelheim</t>
  </si>
  <si>
    <t>Illingen</t>
  </si>
  <si>
    <t>Chemnitz, Stadt</t>
  </si>
  <si>
    <t>Dessau-Roßlau, Stadt</t>
  </si>
  <si>
    <t>Brunsbüttel, Stadt</t>
  </si>
  <si>
    <t>Gera, Stadt</t>
  </si>
  <si>
    <t>Bad Krozingen, Stadt</t>
  </si>
  <si>
    <t>Augsburg, Stadt</t>
  </si>
  <si>
    <t>Cottbus, Stadt</t>
  </si>
  <si>
    <t>Ludwigslust, Stadt</t>
  </si>
  <si>
    <t>Bad Harzburg, Stadt</t>
  </si>
  <si>
    <t>Anröchte</t>
  </si>
  <si>
    <t>Boppard, Stadt</t>
  </si>
  <si>
    <t>Kirkel</t>
  </si>
  <si>
    <t>Coswig, Stadt</t>
  </si>
  <si>
    <t>Eisleben, Lutherstadt</t>
  </si>
  <si>
    <t>Eckernförde, Stadt</t>
  </si>
  <si>
    <t>Gotha, Stadt</t>
  </si>
  <si>
    <t>Bad Mergentheim, Stadt</t>
  </si>
  <si>
    <t>Bad Abbach, Markt</t>
  </si>
  <si>
    <t>Eberswalde, Stadt</t>
  </si>
  <si>
    <t>Neubrandenburg, Stadt</t>
  </si>
  <si>
    <t>Bad Iburg, Stadt</t>
  </si>
  <si>
    <t>Arnsberg, Stadt</t>
  </si>
  <si>
    <t>Diez, Stadt</t>
  </si>
  <si>
    <t>Kleinblittersdorf</t>
  </si>
  <si>
    <t>Crimmitschau, Stadt</t>
  </si>
  <si>
    <t>Gardelegen, Stadt</t>
  </si>
  <si>
    <t>Elmshorn, Stadt</t>
  </si>
  <si>
    <t>Greiz, Stadt</t>
  </si>
  <si>
    <t>Bad Rappenau, Stadt</t>
  </si>
  <si>
    <t>Bad Aibling, Stadt</t>
  </si>
  <si>
    <t>Eisenhüttenstadt, Stadt</t>
  </si>
  <si>
    <t>Neustrelitz, Stadt</t>
  </si>
  <si>
    <t>Bad Lauterberg im Harz, Stadt</t>
  </si>
  <si>
    <t>Ascheberg</t>
  </si>
  <si>
    <t>Frankenthal (Pfalz), krsfr. Stadt</t>
  </si>
  <si>
    <t>Lebach, Stadt</t>
  </si>
  <si>
    <t>Delitzsch, Stadt</t>
  </si>
  <si>
    <t>Genthin, Stadt</t>
  </si>
  <si>
    <t>Eutin, Stadt</t>
  </si>
  <si>
    <t>Heilbad Heiligenstadt, Stadt</t>
  </si>
  <si>
    <t>Bad Säckingen, Stadt</t>
  </si>
  <si>
    <t>Bad Kissingen, Stadt</t>
  </si>
  <si>
    <t>Erkner, Stadt</t>
  </si>
  <si>
    <t>Parchim, Stadt</t>
  </si>
  <si>
    <t>Bad Münder am Deister, Stadt</t>
  </si>
  <si>
    <t>Attendorn, Stadt</t>
  </si>
  <si>
    <t>Germersheim, Stadt</t>
  </si>
  <si>
    <t>Losheim am See</t>
  </si>
  <si>
    <t>Dippoldiswalde, Stadt</t>
  </si>
  <si>
    <t>Gommern, Stadt</t>
  </si>
  <si>
    <t>Fehmarn, Stadt</t>
  </si>
  <si>
    <t>Hildburghausen, Stadt</t>
  </si>
  <si>
    <t>Bad Schönborn</t>
  </si>
  <si>
    <t>Bad Neustadt a. d. Saale, Stadt</t>
  </si>
  <si>
    <t>Falkensee, Stadt</t>
  </si>
  <si>
    <t>Pasewalk, Stadt</t>
  </si>
  <si>
    <t>Bad Nenndorf, Stadt</t>
  </si>
  <si>
    <t>Bad Berleburg, Stadt</t>
  </si>
  <si>
    <t>Grafschaft</t>
  </si>
  <si>
    <t>Mandelbachtal</t>
  </si>
  <si>
    <t>Döbeln, Stadt</t>
  </si>
  <si>
    <t>Gräfenhainichen, Stadt</t>
  </si>
  <si>
    <t>Flensburg, Stadt</t>
  </si>
  <si>
    <t>Ilmenau, Stadt</t>
  </si>
  <si>
    <t>Bad Urach, Stadt</t>
  </si>
  <si>
    <t>Bad Reichenhall, Stadt</t>
  </si>
  <si>
    <t>Finsterwalde, Stadt</t>
  </si>
  <si>
    <t>Ribnitz-Damgarten, Stadt</t>
  </si>
  <si>
    <t>Bad Pyrmont, Stadt</t>
  </si>
  <si>
    <t>Bad Driburg, Stadt</t>
  </si>
  <si>
    <t>Grünstadt, Stadt</t>
  </si>
  <si>
    <t>Marpingen</t>
  </si>
  <si>
    <t>Dresden, Stadt</t>
  </si>
  <si>
    <t>Halberstadt, Stadt</t>
  </si>
  <si>
    <t>Geesthacht, Stadt</t>
  </si>
  <si>
    <t>Jena, Stadt</t>
  </si>
  <si>
    <t>Bad Waldsee, Stadt</t>
  </si>
  <si>
    <t>Bad Staffelstein, Stadt</t>
  </si>
  <si>
    <t>Forst (Lausitz), Stadt</t>
  </si>
  <si>
    <t>Rostock, Hansestadt</t>
  </si>
  <si>
    <t>Bad Salzdetfurth, Stadt</t>
  </si>
  <si>
    <t>Bad Honnef, Stadt</t>
  </si>
  <si>
    <t>Haßloch</t>
  </si>
  <si>
    <t>Merchweiler</t>
  </si>
  <si>
    <t>Ebersbach-Neugersdorf, Stadt</t>
  </si>
  <si>
    <t>Haldensleben, Stadt</t>
  </si>
  <si>
    <t>Glinde, Stadt</t>
  </si>
  <si>
    <t>Leinefelde-Worbis</t>
  </si>
  <si>
    <t>Bad Wurzach, Stadt</t>
  </si>
  <si>
    <t>Bad Tölz, Stadt</t>
  </si>
  <si>
    <t>Frankfurt (Oder), Stadt</t>
  </si>
  <si>
    <t>Schwerin, Landeshauptstadt</t>
  </si>
  <si>
    <t>Bad Zwischenahn</t>
  </si>
  <si>
    <t>Bad Laasphe, Stadt</t>
  </si>
  <si>
    <t>Herxheim b. Landau/Pfalz</t>
  </si>
  <si>
    <t>Merzig, Kreisstadt</t>
  </si>
  <si>
    <t>Eilenburg, Stadt</t>
  </si>
  <si>
    <t>Halle (Saale), Stadt</t>
  </si>
  <si>
    <t>Glückstadt, Stadt</t>
  </si>
  <si>
    <t>Meiningen, Stadt</t>
  </si>
  <si>
    <t>Baden-Baden, Stadt</t>
  </si>
  <si>
    <t>Bad Windsheim, Stadt</t>
  </si>
  <si>
    <t>Fredersdorf-Vogelsdorf</t>
  </si>
  <si>
    <t>Stralsund, Hansestadt</t>
  </si>
  <si>
    <t>Barsinghausen, Stadt</t>
  </si>
  <si>
    <t>Bad Lippspringe, Stadt</t>
  </si>
  <si>
    <t>Idar-Oberstein, Stadt</t>
  </si>
  <si>
    <t>Mettlach</t>
  </si>
  <si>
    <t>Flöha, Stadt</t>
  </si>
  <si>
    <t>Hettstedt, Stadt</t>
  </si>
  <si>
    <t>Halstenbek</t>
  </si>
  <si>
    <t>Meuselwitz, Stadt</t>
  </si>
  <si>
    <t>Baiersbronn</t>
  </si>
  <si>
    <t>Bad Wörishofen, Stadt</t>
  </si>
  <si>
    <t>Fürstenwalde/Spree, Stadt</t>
  </si>
  <si>
    <t>Waren (Müritz), Stadt</t>
  </si>
  <si>
    <t>Barßel</t>
  </si>
  <si>
    <t>Bad Münstereifel, Stadt</t>
  </si>
  <si>
    <t>Ingelheim am Rhein, Stadt</t>
  </si>
  <si>
    <t>Neunkirchen, Kreisstadt</t>
  </si>
  <si>
    <t>Frankenberg, Stadt</t>
  </si>
  <si>
    <t>Hohe Börde</t>
  </si>
  <si>
    <t>Handewitt</t>
  </si>
  <si>
    <t>Mühlhausen/Thüringen, Stadt</t>
  </si>
  <si>
    <t>Balingen, Stadt</t>
  </si>
  <si>
    <t>Bamberg, Stadt</t>
  </si>
  <si>
    <t>Glienicke/Nordbahn</t>
  </si>
  <si>
    <t>Wismar, Hansestadt</t>
  </si>
  <si>
    <t>Bassum, Stadt</t>
  </si>
  <si>
    <t>Bad Oeynhausen, Stadt</t>
  </si>
  <si>
    <t>Kaiserslautern, krsfr. Stadt</t>
  </si>
  <si>
    <t>Nohfelden</t>
  </si>
  <si>
    <t>Freiberg, Stadt</t>
  </si>
  <si>
    <t>Jessen (Elster), Stadt</t>
  </si>
  <si>
    <t>Harrislee</t>
  </si>
  <si>
    <t>Nordhausen, Stadt</t>
  </si>
  <si>
    <t>Besigheim, Stadt</t>
  </si>
  <si>
    <t>Bayreuth, Stadt</t>
  </si>
  <si>
    <t>Guben, Stadt</t>
  </si>
  <si>
    <t>Wolgast, Stadt</t>
  </si>
  <si>
    <t>Belm</t>
  </si>
  <si>
    <t>Bad Salzuflen, Stadt</t>
  </si>
  <si>
    <t>Koblenz, Stadt</t>
  </si>
  <si>
    <t>Ottweiler, Stadt</t>
  </si>
  <si>
    <t>Freital, Stadt</t>
  </si>
  <si>
    <t>Kemberg, Stadt</t>
  </si>
  <si>
    <t>Heide, Stadt</t>
  </si>
  <si>
    <t>Pößneck, Stadt</t>
  </si>
  <si>
    <t>Biberach an der Riß, Stadt</t>
  </si>
  <si>
    <t>Bobingen, Stadt</t>
  </si>
  <si>
    <t>Hennigsdorf, Stadt</t>
  </si>
  <si>
    <t>Bergen, Stadt</t>
  </si>
  <si>
    <t>Bad Sassendorf</t>
  </si>
  <si>
    <t>Konz, Stadt</t>
  </si>
  <si>
    <t>Püttlingen, Stadt</t>
  </si>
  <si>
    <t>Frohburg</t>
  </si>
  <si>
    <t>Klötze, Stadt</t>
  </si>
  <si>
    <t>Henstedt-Ulzburg</t>
  </si>
  <si>
    <t>Rudolstadt, Stadt</t>
  </si>
  <si>
    <t>Bietigheim-Bissingen, Stadt</t>
  </si>
  <si>
    <t>Bruckmühl, Markt</t>
  </si>
  <si>
    <t>Hohen Neuendorf</t>
  </si>
  <si>
    <t>Beverstedt</t>
  </si>
  <si>
    <t>Bad Wünnenberg, Stadt</t>
  </si>
  <si>
    <t>Lahnstein, Stadt</t>
  </si>
  <si>
    <t>Quierschied</t>
  </si>
  <si>
    <t>Glauchau, Stadt</t>
  </si>
  <si>
    <t>Köthen (Anhalt), Stadt</t>
  </si>
  <si>
    <t>Husum, Stadt</t>
  </si>
  <si>
    <t>Saalfeld/Saale, Stadt</t>
  </si>
  <si>
    <t>Birkenfeld</t>
  </si>
  <si>
    <t>Buchloe, Stadt</t>
  </si>
  <si>
    <t>Hoppegarten</t>
  </si>
  <si>
    <t>Bissendorf</t>
  </si>
  <si>
    <t>Baesweiler, Stadt</t>
  </si>
  <si>
    <t>Landau i. d. Pfalz, krsfr. Stadt</t>
  </si>
  <si>
    <t>Rehlingen-Siersburg</t>
  </si>
  <si>
    <t>Görlitz, Stadt</t>
  </si>
  <si>
    <t>Landsberg, Stadt</t>
  </si>
  <si>
    <t>Itzehoe, Stadt</t>
  </si>
  <si>
    <t>Schmalkalden, Kurort, Stadt</t>
  </si>
  <si>
    <t>Blaubeuren, Stadt</t>
  </si>
  <si>
    <t>Burghausen, Stadt</t>
  </si>
  <si>
    <t>Jüterbog, Stadt</t>
  </si>
  <si>
    <t>Bohmte</t>
  </si>
  <si>
    <t>Balve, Stadt</t>
  </si>
  <si>
    <t>Limburgerhof</t>
  </si>
  <si>
    <t>Riegelsberg</t>
  </si>
  <si>
    <t>Grimma, Stadt</t>
  </si>
  <si>
    <t>Leuna, Stadt</t>
  </si>
  <si>
    <t>Kaltenkirchen, Stadt</t>
  </si>
  <si>
    <t>Schmölln, Stadt</t>
  </si>
  <si>
    <t>Blaustein, Stadt</t>
  </si>
  <si>
    <t>Burgkirchen a. d. Alz</t>
  </si>
  <si>
    <t>Kleinmachnow</t>
  </si>
  <si>
    <t>Bovenden, Flecken</t>
  </si>
  <si>
    <t>Beckum, Stadt</t>
  </si>
  <si>
    <t>Ludwigshafen am Rhein, krsfr. Stadt</t>
  </si>
  <si>
    <t>Saarbrücken, Landeshauptstadt</t>
  </si>
  <si>
    <t>Großenhain, Stadt</t>
  </si>
  <si>
    <t>Magdeburg, Landeshauptstadt</t>
  </si>
  <si>
    <t>Kiel, Landeshauptstadt</t>
  </si>
  <si>
    <t>Sömmerda, Stadt</t>
  </si>
  <si>
    <t>Böblingen, Stadt</t>
  </si>
  <si>
    <t>Burglengenfeld, Stadt</t>
  </si>
  <si>
    <t>Kloster Lehnin</t>
  </si>
  <si>
    <t>Brake (Unterweser), Stadt</t>
  </si>
  <si>
    <t>Bedburg, Stadt</t>
  </si>
  <si>
    <t>Mainz, krsfr. Stadt</t>
  </si>
  <si>
    <t>Saarlouis, Kreisstadt</t>
  </si>
  <si>
    <t>Heidenau, Stadt</t>
  </si>
  <si>
    <t>Merseburg, Stadt</t>
  </si>
  <si>
    <t>Kronshagen</t>
  </si>
  <si>
    <t>Sondershausen, Stadt</t>
  </si>
  <si>
    <t>Bopfingen, Stadt</t>
  </si>
  <si>
    <t>Burgthann</t>
  </si>
  <si>
    <t>Königs Wusterhausen, Stadt</t>
  </si>
  <si>
    <t>Bramsche, Stadt</t>
  </si>
  <si>
    <t>Bedburg-Hau</t>
  </si>
  <si>
    <t>Mayen, Stadt</t>
  </si>
  <si>
    <t>Saarwellingen</t>
  </si>
  <si>
    <t>Hohenstein-Ernstthal, Stadt</t>
  </si>
  <si>
    <t>Möckern, Stadt</t>
  </si>
  <si>
    <t>Lauenburg/Elbe, Stadt</t>
  </si>
  <si>
    <t>Sonneberg, Stadt</t>
  </si>
  <si>
    <t>Brackenheim, Stadt</t>
  </si>
  <si>
    <t>Cadolzburg, Markt</t>
  </si>
  <si>
    <t>Lauchhammer, Stadt</t>
  </si>
  <si>
    <t>Braunschweig, Stadt</t>
  </si>
  <si>
    <t>Bergheim, Stadt</t>
  </si>
  <si>
    <t>Montabaur, Stadt</t>
  </si>
  <si>
    <t>Sankt Ingbert, Stadt</t>
  </si>
  <si>
    <t>Hoyerswerda, Stadt</t>
  </si>
  <si>
    <t>Muldestausee</t>
  </si>
  <si>
    <t>Lübeck, Hansestadt</t>
  </si>
  <si>
    <t>Suhl, Stadt</t>
  </si>
  <si>
    <t>Breisach am Rhein, Stadt</t>
  </si>
  <si>
    <t>Cham, Stadt</t>
  </si>
  <si>
    <t>Lübben/Spreewald, Stadt</t>
  </si>
  <si>
    <t>Bremervörde, Stadt</t>
  </si>
  <si>
    <t>Bergisch-Gladbach, Stadt</t>
  </si>
  <si>
    <t>Morbach</t>
  </si>
  <si>
    <t>Sankt Wendel, Kreisstadt</t>
  </si>
  <si>
    <t>Kamenz, Stadt</t>
  </si>
  <si>
    <t>Naumburg (Saale), Stadt</t>
  </si>
  <si>
    <t>Malente</t>
  </si>
  <si>
    <t>Waltershausen, Stadt</t>
  </si>
  <si>
    <t>Bretten, Stadt</t>
  </si>
  <si>
    <t>Coburg, Stadt</t>
  </si>
  <si>
    <t>Lübbenau/Spreewald, Stadt</t>
  </si>
  <si>
    <t>Dieburg, Stadt</t>
  </si>
  <si>
    <t>Buchholz i. d. Nordheide, Stadt</t>
  </si>
  <si>
    <t>Bergkamen, Stadt</t>
  </si>
  <si>
    <t>Mülheim-Kärlich, Stadt</t>
  </si>
  <si>
    <t>Schiffweiler</t>
  </si>
  <si>
    <t>Klipphausen</t>
  </si>
  <si>
    <t>Oberharz am Brocken</t>
  </si>
  <si>
    <t>Mölln, Stadt</t>
  </si>
  <si>
    <t>Weimar, Stadt</t>
  </si>
  <si>
    <t>Bretzfeld</t>
  </si>
  <si>
    <t>Dachau, Stadt</t>
  </si>
  <si>
    <t>Luckenwalde, Stadt</t>
  </si>
  <si>
    <t>Dietzenbach, Kreisstadt</t>
  </si>
  <si>
    <t>Bückeburg, Stadt</t>
  </si>
  <si>
    <t>Bergneustadt, Stadt</t>
  </si>
  <si>
    <t>Mutterstadt</t>
  </si>
  <si>
    <t>Schmelz</t>
  </si>
  <si>
    <t>Leipzig, Stadt</t>
  </si>
  <si>
    <t>Oebisfelde-Weferlingen</t>
  </si>
  <si>
    <t>Neumünster, Stadt</t>
  </si>
  <si>
    <t>Zella-Mehlis, Stadt</t>
  </si>
  <si>
    <t>Bruchsal, Stadt</t>
  </si>
  <si>
    <t>Deggendorf, Stadt</t>
  </si>
  <si>
    <t>Ludwigsfelde, Stadt</t>
  </si>
  <si>
    <t>Dillenburg, Stadt</t>
  </si>
  <si>
    <t>Burgdorf, Stadt</t>
  </si>
  <si>
    <t>Bestwig</t>
  </si>
  <si>
    <t>Neustadt (a. d. Weinstraße), krsfr. Stadt</t>
  </si>
  <si>
    <t>Schwalbach</t>
  </si>
  <si>
    <t>Lichtenstein/Sachsen, Stadt</t>
  </si>
  <si>
    <t>Oschersleben (Bode), Stadt</t>
  </si>
  <si>
    <t>Neustadt in Holstein, Stadt</t>
  </si>
  <si>
    <t>Zeulenroda-Triebes, Stadt</t>
  </si>
  <si>
    <t>Brühl</t>
  </si>
  <si>
    <t>Dießen a. Ammersee, Markt</t>
  </si>
  <si>
    <t>Michendorf</t>
  </si>
  <si>
    <t>Dreieich, Stadt</t>
  </si>
  <si>
    <t>Burgwedel, Stadt</t>
  </si>
  <si>
    <t>Beverungen, Stadt</t>
  </si>
  <si>
    <t>Neuwied, Stadt</t>
  </si>
  <si>
    <t>Spiesen-Elversberg</t>
  </si>
  <si>
    <t>Limbach-Oberfrohna, Stadt</t>
  </si>
  <si>
    <t>Osterburg (Altmark)</t>
  </si>
  <si>
    <t>Norderstedt, Stadt</t>
  </si>
  <si>
    <t>Buchen (Odenwald), Stadt</t>
  </si>
  <si>
    <t>Dillingen a. d. Donau, Stadt</t>
  </si>
  <si>
    <t>Mühlenbecker Land</t>
  </si>
  <si>
    <t>Egelsbach</t>
  </si>
  <si>
    <t>Buxtehude, Hansestadt</t>
  </si>
  <si>
    <t>Bielefeld, Stadt</t>
  </si>
  <si>
    <t>Pirmasens, krsfr. Stadt</t>
  </si>
  <si>
    <t>Sulzbach/Saar, Stadt</t>
  </si>
  <si>
    <t>Löbau, Stadt</t>
  </si>
  <si>
    <t>Osterwieck, Stadt</t>
  </si>
  <si>
    <t>Pinneberg, Stadt</t>
  </si>
  <si>
    <t>Bühl, Stadt</t>
  </si>
  <si>
    <t>Dingolfing, Stadt</t>
  </si>
  <si>
    <t>Nauen, Stadt</t>
  </si>
  <si>
    <t>Eichenzell</t>
  </si>
  <si>
    <t>Celle, Stadt</t>
  </si>
  <si>
    <t>Billerbeck, Stadt</t>
  </si>
  <si>
    <t>Remagen, Stadt</t>
  </si>
  <si>
    <t>Tholey</t>
  </si>
  <si>
    <t>Marienberg, Stadt</t>
  </si>
  <si>
    <t>Quedlinburg, Stadt</t>
  </si>
  <si>
    <t>Preetz, Stadt</t>
  </si>
  <si>
    <t>Burladingen, Stadt</t>
  </si>
  <si>
    <t>Dinkelsbühl, Stadt</t>
  </si>
  <si>
    <t>Neuenhagen bei Berlin</t>
  </si>
  <si>
    <t>Eltville am Rhein, Stadt</t>
  </si>
  <si>
    <t>Clausthal-Zellerfeld, Berg- und Universitätsstadt</t>
  </si>
  <si>
    <t>Blomberg, Stadt</t>
  </si>
  <si>
    <t>Schifferstadt, Stadt</t>
  </si>
  <si>
    <t>Überherrn</t>
  </si>
  <si>
    <t>Markkleeberg, Stadt</t>
  </si>
  <si>
    <t>Querfurt, Stadt</t>
  </si>
  <si>
    <t>Quickborn, Stadt</t>
  </si>
  <si>
    <t>Calw, Stadt</t>
  </si>
  <si>
    <t>Donauwörth, Stadt</t>
  </si>
  <si>
    <t>Neuruppin, Fontanestadt</t>
  </si>
  <si>
    <t>Eppstein, Stadt</t>
  </si>
  <si>
    <t>Cloppenburg, Stadt</t>
  </si>
  <si>
    <t>Bocholt, Stadt</t>
  </si>
  <si>
    <t>Sinzig, Stadt</t>
  </si>
  <si>
    <t>Völklingen, Stadt</t>
  </si>
  <si>
    <t>Markranstädt, Stadt</t>
  </si>
  <si>
    <t>Salzatal</t>
  </si>
  <si>
    <t>Ratekau</t>
  </si>
  <si>
    <t>Crailsheim, Stadt</t>
  </si>
  <si>
    <t>Dorfen, Stadt</t>
  </si>
  <si>
    <t>Oberkrämer</t>
  </si>
  <si>
    <t>Erbach, Kreisstadt</t>
  </si>
  <si>
    <t>Cremlingen</t>
  </si>
  <si>
    <t>Bochum, Stadt</t>
  </si>
  <si>
    <t>Speyer, krsfr. Stadt</t>
  </si>
  <si>
    <t>Wadern, Stadt</t>
  </si>
  <si>
    <t>Meerane, Stadt</t>
  </si>
  <si>
    <t>Salzwedel, Hansestadt</t>
  </si>
  <si>
    <t>Ratzeburg, Stadt</t>
  </si>
  <si>
    <t>Denkendorf</t>
  </si>
  <si>
    <t>Ebersberg, Stadt</t>
  </si>
  <si>
    <t>Oranienburg, Stadt</t>
  </si>
  <si>
    <t>Erlensee</t>
  </si>
  <si>
    <t>Cuxhaven, Stadt</t>
  </si>
  <si>
    <t>Bönen</t>
  </si>
  <si>
    <t>Trier, Stadt</t>
  </si>
  <si>
    <t>Wadgassen</t>
  </si>
  <si>
    <t>Meißen, Stadt</t>
  </si>
  <si>
    <t>Sandersdorf-Brehna</t>
  </si>
  <si>
    <t>Reinbek, Stadt</t>
  </si>
  <si>
    <t>Denzlingen</t>
  </si>
  <si>
    <t>Eching</t>
  </si>
  <si>
    <t>Panketal</t>
  </si>
  <si>
    <t>Eschborn, Stadt</t>
  </si>
  <si>
    <t>Damme, Stadt</t>
  </si>
  <si>
    <t>Bonn, Stadt</t>
  </si>
  <si>
    <t>Wittlich, Stadt</t>
  </si>
  <si>
    <t>Mittweida, Stadt</t>
  </si>
  <si>
    <t>Sangerhausen, Stadt</t>
  </si>
  <si>
    <t>Rellingen</t>
  </si>
  <si>
    <t>Ditzingen, Stadt</t>
  </si>
  <si>
    <t>Eckental, Markt</t>
  </si>
  <si>
    <t>Perleberg, Stadt</t>
  </si>
  <si>
    <t>Eschenburg</t>
  </si>
  <si>
    <t>Delmenhorst, Stadt</t>
  </si>
  <si>
    <t>Borchen</t>
  </si>
  <si>
    <t>Wörth am Rhein, Stadt</t>
  </si>
  <si>
    <t>Mülsen</t>
  </si>
  <si>
    <t>Schkopau</t>
  </si>
  <si>
    <t>Rendsburg, Stadt</t>
  </si>
  <si>
    <t>Donaueschingen, Stadt</t>
  </si>
  <si>
    <t>Eggenfelden, Stadt</t>
  </si>
  <si>
    <t>Petershagen/Eggersdorf</t>
  </si>
  <si>
    <t>Eschwege, Kreisstadt</t>
  </si>
  <si>
    <t>Diepholz, Stadt</t>
  </si>
  <si>
    <t>Borken, Stadt</t>
  </si>
  <si>
    <t>Worms, krsfr. Stadt</t>
  </si>
  <si>
    <t>Neustadt i. Sachsen, Stadt</t>
  </si>
  <si>
    <t>Schönebeck (Elbe), Stadt</t>
  </si>
  <si>
    <t>Scharbeutz</t>
  </si>
  <si>
    <t>Donzdorf, Stadt</t>
  </si>
  <si>
    <t>Eichenau</t>
  </si>
  <si>
    <t>Potsdam, Stadt</t>
  </si>
  <si>
    <t>Felsberg, Stadt</t>
  </si>
  <si>
    <t>Dinklage, Stadt</t>
  </si>
  <si>
    <t>Bornheim, Stadt</t>
  </si>
  <si>
    <t>Zweibrücken, krsfr. Stadt</t>
  </si>
  <si>
    <t>Nossen, Stadt</t>
  </si>
  <si>
    <t>Staßfurt, Stadt</t>
  </si>
  <si>
    <t>Schenefeld, Stadt</t>
  </si>
  <si>
    <t>Dossenheim</t>
  </si>
  <si>
    <t>Eichstätt, Stadt</t>
  </si>
  <si>
    <t>Prenzlau, Stadt</t>
  </si>
  <si>
    <t>Flörsheim am Main, Stadt</t>
  </si>
  <si>
    <t>Drochtersen</t>
  </si>
  <si>
    <t>Bottrop, Stadt</t>
  </si>
  <si>
    <t>Oelsnitz/Erzgebirge, Stadt</t>
  </si>
  <si>
    <t>Stendal, Stadt</t>
  </si>
  <si>
    <t>Schleswig, Stadt</t>
  </si>
  <si>
    <t>Durmersheim</t>
  </si>
  <si>
    <t>Erding, Stadt</t>
  </si>
  <si>
    <t>Pritzwalk, Stadt</t>
  </si>
  <si>
    <t>Frankenberg (Eder), Stadt</t>
  </si>
  <si>
    <t>Duderstadt, Stadt</t>
  </si>
  <si>
    <t>Brakel, Stadt</t>
  </si>
  <si>
    <t>Oelsnitz/Vogtland, Stadt</t>
  </si>
  <si>
    <t>Südliches Anhalt, Stadt</t>
  </si>
  <si>
    <t>Schwarzenbek, Stadt</t>
  </si>
  <si>
    <t>Eberbach, Stadt</t>
  </si>
  <si>
    <t>Ergolding, Markt</t>
  </si>
  <si>
    <t>Rangsdorf</t>
  </si>
  <si>
    <t>Frankfurt am Main, Stadt</t>
  </si>
  <si>
    <t>Edemissen</t>
  </si>
  <si>
    <t>Brilon, Stadt</t>
  </si>
  <si>
    <t>Oschatz, Stadt</t>
  </si>
  <si>
    <t>Tangerhütte, Stadt</t>
  </si>
  <si>
    <t>Schwentinental</t>
  </si>
  <si>
    <t>Ebersbach an der Fils, Stadt</t>
  </si>
  <si>
    <t>Erlangen, Stadt</t>
  </si>
  <si>
    <t>Rathenow, Stadt</t>
  </si>
  <si>
    <t>Freigericht</t>
  </si>
  <si>
    <t>Edewecht</t>
  </si>
  <si>
    <t>Brüggen</t>
  </si>
  <si>
    <t>Pirna, Stadt</t>
  </si>
  <si>
    <t>Tangermünde, Stadt</t>
  </si>
  <si>
    <t>Stockelsdorf</t>
  </si>
  <si>
    <t>Edingen-Neckarhausen</t>
  </si>
  <si>
    <t>Essenbach, Markt</t>
  </si>
  <si>
    <t>Rüdersdorf bei Berlin</t>
  </si>
  <si>
    <t>Friedberg (Hessen), Kreisstadt</t>
  </si>
  <si>
    <t>Einbeck, Stadt</t>
  </si>
  <si>
    <t>Brühl, Stadt</t>
  </si>
  <si>
    <t>Plauen, Stadt</t>
  </si>
  <si>
    <t>Teutschenthal</t>
  </si>
  <si>
    <t>Sylt</t>
  </si>
  <si>
    <t>Eggenstein-Leopoldshafen</t>
  </si>
  <si>
    <t>Feldkirchen-Westerham</t>
  </si>
  <si>
    <t>Schönefeld</t>
  </si>
  <si>
    <t>Friedrichsdorf, Stadt</t>
  </si>
  <si>
    <t>Emden, Stadt</t>
  </si>
  <si>
    <t>Bünde, Stadt</t>
  </si>
  <si>
    <t>Radeberg, Stadt</t>
  </si>
  <si>
    <t>Thale, Stadt</t>
  </si>
  <si>
    <t>Tornesch</t>
  </si>
  <si>
    <t>Ehingen (Donau), Stadt</t>
  </si>
  <si>
    <t>Feucht, Markt</t>
  </si>
  <si>
    <t>Schöneiche bei Berlin</t>
  </si>
  <si>
    <t>Fritzlar, Dom- und Kaiserstadt</t>
  </si>
  <si>
    <t>Emstek</t>
  </si>
  <si>
    <t>Büren, Stadt</t>
  </si>
  <si>
    <t>Radebeul, Stadt</t>
  </si>
  <si>
    <t>Wanzleben-Börde, Stadt</t>
  </si>
  <si>
    <t>Uetersen, Stadt</t>
  </si>
  <si>
    <t>Eislingen/Fils, Stadt</t>
  </si>
  <si>
    <t>Feuchtwangen, Stadt</t>
  </si>
  <si>
    <t>Schwedt/Oder, Stadt</t>
  </si>
  <si>
    <t>Fürth</t>
  </si>
  <si>
    <t>Friedeburg</t>
  </si>
  <si>
    <t>Burbach</t>
  </si>
  <si>
    <t>Reichenbach/Vogtland, Stadt</t>
  </si>
  <si>
    <t>Weißenfels, Stadt</t>
  </si>
  <si>
    <t>Wedel, Stadt</t>
  </si>
  <si>
    <t>Ellwangen (Jagst), Stadt</t>
  </si>
  <si>
    <t>Forchheim, Stadt</t>
  </si>
  <si>
    <t>Schwielowsee</t>
  </si>
  <si>
    <t>Fulda, Stadt</t>
  </si>
  <si>
    <t>Friesoythe, Stadt</t>
  </si>
  <si>
    <t>Burscheid, Stadt</t>
  </si>
  <si>
    <t>Riesa, Stadt</t>
  </si>
  <si>
    <t>Wernigerode, Stadt</t>
  </si>
  <si>
    <t>Wentorf bei Hamburg</t>
  </si>
  <si>
    <t>Emmendingen, Stadt</t>
  </si>
  <si>
    <t>Freilassing, Stadt</t>
  </si>
  <si>
    <t>Senftenberg, Stadt</t>
  </si>
  <si>
    <t>Fuldatal</t>
  </si>
  <si>
    <t>Ganderkesee</t>
  </si>
  <si>
    <t>Castrop-Rauxel, Stadt</t>
  </si>
  <si>
    <t>Schkeuditz, Stadt</t>
  </si>
  <si>
    <t>Wettin-Löbejün, Stadt</t>
  </si>
  <si>
    <t>Engen, Stadt</t>
  </si>
  <si>
    <t>Freising, Stadt</t>
  </si>
  <si>
    <t>Spremberg, Stadt</t>
  </si>
  <si>
    <t>Geisenheim, Stadt</t>
  </si>
  <si>
    <t>Garbsen, Stadt</t>
  </si>
  <si>
    <t>Coesfeld, Stadt</t>
  </si>
  <si>
    <t>Schneeberg, Stadt</t>
  </si>
  <si>
    <t>Wittenberg, Lutherstadt</t>
  </si>
  <si>
    <t>Eningen unter Achalm</t>
  </si>
  <si>
    <t>Friedberg, Stadt</t>
  </si>
  <si>
    <t>Stahnsdorf</t>
  </si>
  <si>
    <t>Gelnhausen, Barbarossastadt</t>
  </si>
  <si>
    <t>Garrel</t>
  </si>
  <si>
    <t>Datteln, Stadt</t>
  </si>
  <si>
    <t>Schwarzenberg/Erzgebirge, Stadt</t>
  </si>
  <si>
    <t>Wolmirstedt, Stadt</t>
  </si>
  <si>
    <t>Eppelheim, Stadt</t>
  </si>
  <si>
    <t>Fürstenfeldbruck, Stadt</t>
  </si>
  <si>
    <t>Strausberg, Stadt</t>
  </si>
  <si>
    <t>Gießen, Universitätsstadt</t>
  </si>
  <si>
    <t>Geeste</t>
  </si>
  <si>
    <t>Delbrück, Stadt</t>
  </si>
  <si>
    <t>Stollberg/Erzgebirge, Stadt</t>
  </si>
  <si>
    <t>Zeitz, Stadt</t>
  </si>
  <si>
    <t>Eppingen, Stadt</t>
  </si>
  <si>
    <t>Fürth, Stadt</t>
  </si>
  <si>
    <t>Teltow, Stadt</t>
  </si>
  <si>
    <t>Ginsheim-Gustavsburg, Stadt</t>
  </si>
  <si>
    <t>Gehrden, Stadt</t>
  </si>
  <si>
    <t>Detmold, Stadt</t>
  </si>
  <si>
    <t>Taucha, Stadt</t>
  </si>
  <si>
    <t>Zerbst/Anhalt, Stadt</t>
  </si>
  <si>
    <t>Erbach</t>
  </si>
  <si>
    <t>Füssen, Stadt</t>
  </si>
  <si>
    <t>Templin, Stadt</t>
  </si>
  <si>
    <t>Gladenbach, Stadt</t>
  </si>
  <si>
    <t>Georgsmarienhütte, Stadt</t>
  </si>
  <si>
    <t>Dinslaken, Stadt</t>
  </si>
  <si>
    <t>Torgau, Stadt</t>
  </si>
  <si>
    <t>Esslingen am Neckar, Stadt</t>
  </si>
  <si>
    <t>Gaimersheim, Markt</t>
  </si>
  <si>
    <t>Velten, Stadt</t>
  </si>
  <si>
    <t>Griesheim, Stadt</t>
  </si>
  <si>
    <t>Gifhorn, Stadt</t>
  </si>
  <si>
    <t>Dormagen, Stadt</t>
  </si>
  <si>
    <t>Weinböhla</t>
  </si>
  <si>
    <t>Ettenheim, Stadt</t>
  </si>
  <si>
    <t>Garching bei München, Stadt</t>
  </si>
  <si>
    <t>Wandlitz</t>
  </si>
  <si>
    <t>Groß-Gerau, Stadt</t>
  </si>
  <si>
    <t>Goslar, Stadt</t>
  </si>
  <si>
    <t>Dorsten, Stadt</t>
  </si>
  <si>
    <t>Weißwasser/Oberlausitz, Stadt</t>
  </si>
  <si>
    <t>Ettlingen, Stadt</t>
  </si>
  <si>
    <t>Garmisch-Partenkirchen, Markt</t>
  </si>
  <si>
    <t>Werder (Havel), Stadt</t>
  </si>
  <si>
    <t>Groß-Umstadt, Stadt</t>
  </si>
  <si>
    <t>Göttingen, Stadt</t>
  </si>
  <si>
    <t>Dortmund, Stadt</t>
  </si>
  <si>
    <t>Werdau, Stadt</t>
  </si>
  <si>
    <t>Fellbach, Stadt</t>
  </si>
  <si>
    <t>Gauting</t>
  </si>
  <si>
    <t>Wittenberge, Stadt</t>
  </si>
  <si>
    <t>Groß-Zimmern</t>
  </si>
  <si>
    <t>Großefehn</t>
  </si>
  <si>
    <t>Drensteinfurt, Stadt</t>
  </si>
  <si>
    <t>Wilkau-Haßlau, Stadt</t>
  </si>
  <si>
    <t>Filderstadt, Stadt</t>
  </si>
  <si>
    <t>Geisenfeld, Stadt</t>
  </si>
  <si>
    <t>Wittstock/Dosse, Stadt</t>
  </si>
  <si>
    <t>Grünberg, Stadt</t>
  </si>
  <si>
    <t>Großenkneten</t>
  </si>
  <si>
    <t>Drolshagen, Stadt</t>
  </si>
  <si>
    <t>Wilsdruff, Stadt</t>
  </si>
  <si>
    <t>Freiberg am Neckar, Stadt</t>
  </si>
  <si>
    <t>Gemünden am Main, Stadt</t>
  </si>
  <si>
    <t>Zehdenick, Stadt</t>
  </si>
  <si>
    <t>Gründau</t>
  </si>
  <si>
    <t>Hagen im Bremischen</t>
  </si>
  <si>
    <t>Dülmen, Stadt</t>
  </si>
  <si>
    <t>Wurzen, Stadt</t>
  </si>
  <si>
    <t>Freiburg im Breisgau, Universitätsstadt</t>
  </si>
  <si>
    <t>Geretsried, Stadt</t>
  </si>
  <si>
    <t>Zeuthen</t>
  </si>
  <si>
    <t>Hadamar, Stadt</t>
  </si>
  <si>
    <t>Hagen am Teutoburger Wald</t>
  </si>
  <si>
    <t>Düren, Stadt</t>
  </si>
  <si>
    <t>Zittau, Stadt</t>
  </si>
  <si>
    <t>Freudenstadt, Stadt</t>
  </si>
  <si>
    <t>Germering, Stadt</t>
  </si>
  <si>
    <t>Zossen</t>
  </si>
  <si>
    <t>Haiger, Stadt</t>
  </si>
  <si>
    <t>Hambühren</t>
  </si>
  <si>
    <t>Düsseldorf, Stadt</t>
  </si>
  <si>
    <t>Zwickau, Stadt</t>
  </si>
  <si>
    <t>Friedrichshafen, Stadt</t>
  </si>
  <si>
    <t>Gersthofen, Stadt</t>
  </si>
  <si>
    <t>Hainburg</t>
  </si>
  <si>
    <t>Hameln, Stadt</t>
  </si>
  <si>
    <t>Duisburg, Stadt</t>
  </si>
  <si>
    <t>Zwönitz, Stadt</t>
  </si>
  <si>
    <t>Friesenheim</t>
  </si>
  <si>
    <t>Gilching</t>
  </si>
  <si>
    <t>Hanau, Brüder-Grimm-Stadt</t>
  </si>
  <si>
    <t>Hannoversch Münden, Stadt</t>
  </si>
  <si>
    <t>Eitorf</t>
  </si>
  <si>
    <t>Gärtringen</t>
  </si>
  <si>
    <t>Gräfelfing</t>
  </si>
  <si>
    <t>Hattersheim am Main, Stadt</t>
  </si>
  <si>
    <t>Hannover, Stadt</t>
  </si>
  <si>
    <t>Elsdorf</t>
  </si>
  <si>
    <t>Gaggenau, Stadt</t>
  </si>
  <si>
    <t>Grafing bei München, Stadt</t>
  </si>
  <si>
    <t>Heppenheim (Bergstraße), Kreisstadt</t>
  </si>
  <si>
    <t>Haren (Ems), Stadt</t>
  </si>
  <si>
    <t>Emmerich am Rhein, Stadt</t>
  </si>
  <si>
    <t>Gaildorf, Stadt</t>
  </si>
  <si>
    <t>Gröbenzell</t>
  </si>
  <si>
    <t>Herborn, Stadt</t>
  </si>
  <si>
    <t>Harsefeld, Flecken</t>
  </si>
  <si>
    <t>Emsdetten, Stadt</t>
  </si>
  <si>
    <t>Geislingen an der Steige, Stadt</t>
  </si>
  <si>
    <t>Großostheim, Markt</t>
  </si>
  <si>
    <t>Hessisch Lichtenau, Stadt</t>
  </si>
  <si>
    <t>Harsum</t>
  </si>
  <si>
    <t>Engelskirchen</t>
  </si>
  <si>
    <t>Gengenbach, Stadt</t>
  </si>
  <si>
    <t>Grünwald</t>
  </si>
  <si>
    <t>Heusenstamm, Stadt</t>
  </si>
  <si>
    <t>Hasbergen</t>
  </si>
  <si>
    <t>Enger, Stadt</t>
  </si>
  <si>
    <t>Gerlingen, Stadt</t>
  </si>
  <si>
    <t>Günzburg, Stadt</t>
  </si>
  <si>
    <t>Hochheim am Main, Stadt</t>
  </si>
  <si>
    <t>Haselünne, Stadt</t>
  </si>
  <si>
    <t>Ennepetal, Stadt</t>
  </si>
  <si>
    <t>Gernsbach, Stadt</t>
  </si>
  <si>
    <t>Gunzenhausen, Stadt</t>
  </si>
  <si>
    <t>Höchst i. Odenwald</t>
  </si>
  <si>
    <t>Hatten</t>
  </si>
  <si>
    <t>Ennigerloh, Stadt</t>
  </si>
  <si>
    <t>Gerstetten</t>
  </si>
  <si>
    <t>Haar</t>
  </si>
  <si>
    <t>Hofgeismar, Stadt</t>
  </si>
  <si>
    <t>Helmstedt, Stadt</t>
  </si>
  <si>
    <t>Ense</t>
  </si>
  <si>
    <t>Giengen an der Brenz, Stadt</t>
  </si>
  <si>
    <t>Hallbergmoos</t>
  </si>
  <si>
    <t>Hofheim am Taunus, Kreisstadt</t>
  </si>
  <si>
    <t>Hemmingen, Stadt</t>
  </si>
  <si>
    <t>Erftstadt, Stadt</t>
  </si>
  <si>
    <t>Göppingen, Stadt</t>
  </si>
  <si>
    <t>Hammelburg, Stadt</t>
  </si>
  <si>
    <t>Homberg (Efze), Kreisstadt</t>
  </si>
  <si>
    <t>Herzberg am Harz, Stadt</t>
  </si>
  <si>
    <t>Erkelenz, Stadt</t>
  </si>
  <si>
    <t>Gottmadingen</t>
  </si>
  <si>
    <t>Haßfurt, Stadt</t>
  </si>
  <si>
    <t>Hünfeld, Konrad-Zuse-Stadt</t>
  </si>
  <si>
    <t>Hessisch Oldendorf, Stadt</t>
  </si>
  <si>
    <t>Erkrath, Stadt</t>
  </si>
  <si>
    <t>Graben-Neudorf</t>
  </si>
  <si>
    <t>Hauzenberg, Stadt</t>
  </si>
  <si>
    <t>Hünstetten</t>
  </si>
  <si>
    <t>Hildesheim, Stadt</t>
  </si>
  <si>
    <t>Erwitte, Stadt</t>
  </si>
  <si>
    <t>Grenzach-Wyhlen</t>
  </si>
  <si>
    <t>Herrsching a. Ammersee</t>
  </si>
  <si>
    <t>Hüttenberg</t>
  </si>
  <si>
    <t>Hilter am Teutoburger Wald</t>
  </si>
  <si>
    <t>Eschweiler, Stadt</t>
  </si>
  <si>
    <t>Gundelfingen</t>
  </si>
  <si>
    <t>Hersbruck, Stadt</t>
  </si>
  <si>
    <t>Hungen, Stadt</t>
  </si>
  <si>
    <t>Holzminden, Stadt</t>
  </si>
  <si>
    <t>Espelkamp, Stadt</t>
  </si>
  <si>
    <t>Haigerloch, Stadt</t>
  </si>
  <si>
    <t>Herzogenaurach, Stadt</t>
  </si>
  <si>
    <t>Idstein, Stadt</t>
  </si>
  <si>
    <t>Hude (Oldenburg)</t>
  </si>
  <si>
    <t>Essen, Stadt</t>
  </si>
  <si>
    <t>Hechingen, Stadt</t>
  </si>
  <si>
    <t>Hilpoltstein, Stadt</t>
  </si>
  <si>
    <t>Karben, Stadt</t>
  </si>
  <si>
    <t>Ihlow</t>
  </si>
  <si>
    <t>Euskirchen, Stadt</t>
  </si>
  <si>
    <t>Heddesheim</t>
  </si>
  <si>
    <t>Hirschaid, Markt</t>
  </si>
  <si>
    <t>Kassel, documenta-Stadt</t>
  </si>
  <si>
    <t>Ilsede</t>
  </si>
  <si>
    <t>Extertal</t>
  </si>
  <si>
    <t>Heidelberg, Stadt</t>
  </si>
  <si>
    <t>Höchstadt a. d. Aisch, Stadt</t>
  </si>
  <si>
    <t>Kaufungen</t>
  </si>
  <si>
    <t>Isernhagen</t>
  </si>
  <si>
    <t>Finnentrop</t>
  </si>
  <si>
    <t>Heidenheim an der Brenz, Stadt</t>
  </si>
  <si>
    <t>Höhenkirchen-Siegertsbrunn</t>
  </si>
  <si>
    <t>Kelkheim (Taunus), Stadt</t>
  </si>
  <si>
    <t>Jever, Stadt</t>
  </si>
  <si>
    <t>Frechen, Stadt</t>
  </si>
  <si>
    <t>Heilbronn, Stadt</t>
  </si>
  <si>
    <t>Hösbach, Markt</t>
  </si>
  <si>
    <t>Kelsterbach, Stadt</t>
  </si>
  <si>
    <t>Jork</t>
  </si>
  <si>
    <t>Freudenberg, Stadt</t>
  </si>
  <si>
    <t>Hemsbach, Stadt</t>
  </si>
  <si>
    <t>Hof, Stadt</t>
  </si>
  <si>
    <t>Kirchhain, Stadt</t>
  </si>
  <si>
    <t>Kirchlinteln</t>
  </si>
  <si>
    <t>Fröndenberg, Stadt</t>
  </si>
  <si>
    <t>Herbolzheim, Stadt</t>
  </si>
  <si>
    <t>Holzkirchen, Markt</t>
  </si>
  <si>
    <t>Königstein im Taunus, Stadt</t>
  </si>
  <si>
    <t>Königslutter am Elm, Stadt</t>
  </si>
  <si>
    <t>Gangelt</t>
  </si>
  <si>
    <t>Herbrechtingen, Stadt</t>
  </si>
  <si>
    <t>Illertissen, Stadt</t>
  </si>
  <si>
    <t>Korbach, Kreisstadt</t>
  </si>
  <si>
    <t>Krummhörn</t>
  </si>
  <si>
    <t>Geilenkirchen, Stadt</t>
  </si>
  <si>
    <t>Herrenberg, Stadt</t>
  </si>
  <si>
    <t>Immenstadt i. Allgäu, Stadt</t>
  </si>
  <si>
    <t>Kriftel</t>
  </si>
  <si>
    <t>Laatzen, Stadt</t>
  </si>
  <si>
    <t>Geldern, Stadt</t>
  </si>
  <si>
    <t>Hockenheim, Stadt</t>
  </si>
  <si>
    <t>Ingolstadt, Stadt</t>
  </si>
  <si>
    <t>Kronberg im Taunus, Stadt</t>
  </si>
  <si>
    <t>Langelsheim, Stadt</t>
  </si>
  <si>
    <t>Gelsenkirchen, Stadt</t>
  </si>
  <si>
    <t>Holzgerlingen, Stadt</t>
  </si>
  <si>
    <t>Ismaning</t>
  </si>
  <si>
    <t>Künzell</t>
  </si>
  <si>
    <t>Langen, Stadt</t>
  </si>
  <si>
    <t>Gescher, Stadt</t>
  </si>
  <si>
    <t>Horb am Neckar, Stadt</t>
  </si>
  <si>
    <t>Karlsfeld</t>
  </si>
  <si>
    <t>Lampertheim, Stadt</t>
  </si>
  <si>
    <t>Langenhagen, Stadt</t>
  </si>
  <si>
    <t>Geseke, Stadt</t>
  </si>
  <si>
    <t>Isny im Allgäu, Stadt</t>
  </si>
  <si>
    <t>Karlstadt, Stadt</t>
  </si>
  <si>
    <t>Langen (Hessen), Stadt</t>
  </si>
  <si>
    <t>Langwedel, Flecken</t>
  </si>
  <si>
    <t>Gevelsberg, Stadt</t>
  </si>
  <si>
    <t>Karlsbad</t>
  </si>
  <si>
    <t>Kaufbeuren, Stadt</t>
  </si>
  <si>
    <t>Langenselbold, Stadt</t>
  </si>
  <si>
    <t>Leer (Ostfriesland), Stadt</t>
  </si>
  <si>
    <t>Gladbeck, Stadt</t>
  </si>
  <si>
    <t>Karlsdorf-Neuthard</t>
  </si>
  <si>
    <t>Kaufering, Markt</t>
  </si>
  <si>
    <t>Langgöns</t>
  </si>
  <si>
    <t>Lehre</t>
  </si>
  <si>
    <t>Goch, Stadt</t>
  </si>
  <si>
    <t>Karlsruhe, Stadt</t>
  </si>
  <si>
    <t>Kelheim, Stadt</t>
  </si>
  <si>
    <t>Lauterbach (Hessen), Kreisstadt</t>
  </si>
  <si>
    <t>Lehrte, Stadt</t>
  </si>
  <si>
    <t>Grefrath</t>
  </si>
  <si>
    <t>Kehl, Stadt</t>
  </si>
  <si>
    <t>Kempten (Allgäu), Stadt</t>
  </si>
  <si>
    <t>Lich, Stadt</t>
  </si>
  <si>
    <t>Lengede</t>
  </si>
  <si>
    <t>Greven, Stadt</t>
  </si>
  <si>
    <t>Kernen im Remstal</t>
  </si>
  <si>
    <t>Kirchheim bei München</t>
  </si>
  <si>
    <t>Limburg an der Lahn, Kreisstadt</t>
  </si>
  <si>
    <t>Lilienthal</t>
  </si>
  <si>
    <t>Grevenbroich, Stadt</t>
  </si>
  <si>
    <t>Ketsch</t>
  </si>
  <si>
    <t>Kirchseeon, Markt</t>
  </si>
  <si>
    <t>Linden, Stadt</t>
  </si>
  <si>
    <t>Lingen (Ems), Stadt</t>
  </si>
  <si>
    <t>Gronau (Westfalen), Stadt</t>
  </si>
  <si>
    <t>Kirchheim unter Teck, Stadt</t>
  </si>
  <si>
    <t>Kissing</t>
  </si>
  <si>
    <t>Lohfelden</t>
  </si>
  <si>
    <t>Lohne (Oldenburg), Stadt</t>
  </si>
  <si>
    <t>Gütersloh, Stadt</t>
  </si>
  <si>
    <t>Konstanz, Universitätsstadt</t>
  </si>
  <si>
    <t>Kitzingen, Stadt</t>
  </si>
  <si>
    <t>Lorsch, Karolingerstadt</t>
  </si>
  <si>
    <t>Löningen, Stadt</t>
  </si>
  <si>
    <t>Gummersbach, Stadt</t>
  </si>
  <si>
    <t>Korb</t>
  </si>
  <si>
    <t>Königsbrunn, Stadt</t>
  </si>
  <si>
    <t>Maintal, Stadt</t>
  </si>
  <si>
    <t>Loxstedt</t>
  </si>
  <si>
    <t>Haan, Stadt</t>
  </si>
  <si>
    <t>Korntal-Münchingen, Stadt</t>
  </si>
  <si>
    <t>Kolbermoor, Stadt</t>
  </si>
  <si>
    <t>Marburg, Universitätsstadt</t>
  </si>
  <si>
    <t>Lüneburg, Hansestadt</t>
  </si>
  <si>
    <t>Hagen, Stadt</t>
  </si>
  <si>
    <t>Kornwestheim, Stadt</t>
  </si>
  <si>
    <t>Kronach, Stadt</t>
  </si>
  <si>
    <t>Melsungen, Stadt</t>
  </si>
  <si>
    <t>Melle, Stadt</t>
  </si>
  <si>
    <t>Halle (Westfalen), Stadt</t>
  </si>
  <si>
    <t>Kraichtal, Stadt</t>
  </si>
  <si>
    <t>Krumbach (Schwaben), Stadt</t>
  </si>
  <si>
    <t>Michelstadt, Stadt</t>
  </si>
  <si>
    <t>Meppen, Stadt</t>
  </si>
  <si>
    <t>Haltern am See, Stadt</t>
  </si>
  <si>
    <t>Künzelsau, Stadt</t>
  </si>
  <si>
    <t>Kulmbach, Stadt</t>
  </si>
  <si>
    <t>Mörfelden-Walldorf, Stadt</t>
  </si>
  <si>
    <t>Moormerland</t>
  </si>
  <si>
    <t>Halver, Stadt</t>
  </si>
  <si>
    <t>Ladenburg, Stadt</t>
  </si>
  <si>
    <t>Landau an der Isar, Stadt</t>
  </si>
  <si>
    <t>Mühlheim am Main, Stadt</t>
  </si>
  <si>
    <t>Munster, Stadt</t>
  </si>
  <si>
    <t>Hamm, Stadt</t>
  </si>
  <si>
    <t>Lahr/Schwarzwald, Stadt</t>
  </si>
  <si>
    <t>Landsberg a. Lech, Stadt</t>
  </si>
  <si>
    <t>Mühltal</t>
  </si>
  <si>
    <t>Neu Wulmstorf</t>
  </si>
  <si>
    <t>Hamminkeln, Stadt</t>
  </si>
  <si>
    <t>Laichingen, Stadt</t>
  </si>
  <si>
    <t>Landshut, Stadt</t>
  </si>
  <si>
    <t>Münster</t>
  </si>
  <si>
    <t>Neustadt am Rübenberge, Stadt</t>
  </si>
  <si>
    <t>Harsewinkel, Stadt</t>
  </si>
  <si>
    <t>Langenau, Stadt</t>
  </si>
  <si>
    <t>Langenzenn, Stadt</t>
  </si>
  <si>
    <t>Nauheim</t>
  </si>
  <si>
    <t>Nienburg (Weser), Stadt</t>
  </si>
  <si>
    <t>Hattingen, Stadt</t>
  </si>
  <si>
    <t>Lauda-Königshofen, Stadt</t>
  </si>
  <si>
    <t>Lappersdorf, Markt</t>
  </si>
  <si>
    <t>Neu-Anspach, Stadt</t>
  </si>
  <si>
    <t>Norden, Stadt</t>
  </si>
  <si>
    <t>Havixbeck</t>
  </si>
  <si>
    <t>Lauffen am Neckar, Stadt</t>
  </si>
  <si>
    <t>Lauf a. d. Pegnitz, Stadt</t>
  </si>
  <si>
    <t>Neuhof</t>
  </si>
  <si>
    <t>Nordenham, Stadt</t>
  </si>
  <si>
    <t>Heiligenhaus, Stadt</t>
  </si>
  <si>
    <t>Laupheim, Stadt</t>
  </si>
  <si>
    <t>Lauingen (Donau), Stadt</t>
  </si>
  <si>
    <t>Neu-Isenburg, Stadt</t>
  </si>
  <si>
    <t>Nordhorn, Stadt</t>
  </si>
  <si>
    <t>Heinsberg, Stadt</t>
  </si>
  <si>
    <t>Leimen, Stadt</t>
  </si>
  <si>
    <t>Lichtenfels, Stadt</t>
  </si>
  <si>
    <t>Nidda, Stadt</t>
  </si>
  <si>
    <t>Nordstemmen</t>
  </si>
  <si>
    <t>Hemer, Stadt</t>
  </si>
  <si>
    <t>Leinfelden-Echterdingen, Stadt</t>
  </si>
  <si>
    <t>Lindau (Bodensee), Stadt</t>
  </si>
  <si>
    <t>Nidderau, Stadt</t>
  </si>
  <si>
    <t>Northeim, Stadt</t>
  </si>
  <si>
    <t>Hennef (Sieg), Stadt</t>
  </si>
  <si>
    <t>Leingarten</t>
  </si>
  <si>
    <t>Lindenberg i. Allgäu, Stadt</t>
  </si>
  <si>
    <t>Niedernhausen</t>
  </si>
  <si>
    <t>Oldenburg (Oldenburg), Stadt</t>
  </si>
  <si>
    <t>Herdecke, Stadt</t>
  </si>
  <si>
    <t>Leonberg, Stadt</t>
  </si>
  <si>
    <t>Lohr am Main, Stadt</t>
  </si>
  <si>
    <t>Niestetal</t>
  </si>
  <si>
    <t>Osnabrück, Stadt</t>
  </si>
  <si>
    <t>Herford, Stadt</t>
  </si>
  <si>
    <t>Leutenbach</t>
  </si>
  <si>
    <t>Mainburg, Stadt</t>
  </si>
  <si>
    <t>Ober-Ramstadt, Stadt</t>
  </si>
  <si>
    <t>Osterholz-Scharmbeck, Stadt</t>
  </si>
  <si>
    <t>Herne, Stadt</t>
  </si>
  <si>
    <t>Leutkirch im Allgäu, Stadt</t>
  </si>
  <si>
    <t>Maisach</t>
  </si>
  <si>
    <t>Obertshausen, Stadt</t>
  </si>
  <si>
    <t>Osterode am Harz, Stadt</t>
  </si>
  <si>
    <t>Herten, Stadt</t>
  </si>
  <si>
    <t>Linkenheim-Hochstetten</t>
  </si>
  <si>
    <t>Manching, Markt</t>
  </si>
  <si>
    <t>Oberursel (Taunus), Stadt</t>
  </si>
  <si>
    <t>Ostrhauderfehn</t>
  </si>
  <si>
    <t>Herzebrock-Clarholz</t>
  </si>
  <si>
    <t>Lorch, Stadt</t>
  </si>
  <si>
    <t>Markt Schwaben, Markt</t>
  </si>
  <si>
    <t>Oestrich-Winkel, Stadt</t>
  </si>
  <si>
    <t>Ottersberg, Flecken</t>
  </si>
  <si>
    <t>Herzogenrath, Stadt</t>
  </si>
  <si>
    <t>Lörrach, Stadt</t>
  </si>
  <si>
    <t>Marktheidenfeld, Stadt</t>
  </si>
  <si>
    <t>Offenbach am Main, Stadt</t>
  </si>
  <si>
    <t>Oyten</t>
  </si>
  <si>
    <t>Hiddenhausen</t>
  </si>
  <si>
    <t>Ludwigsburg, Stadt</t>
  </si>
  <si>
    <t>Marktoberdorf, Stadt</t>
  </si>
  <si>
    <t>Petersberg</t>
  </si>
  <si>
    <t>Papenburg, Stadt</t>
  </si>
  <si>
    <t>Hilchenbach, Stadt</t>
  </si>
  <si>
    <t>Malsch</t>
  </si>
  <si>
    <t>Marktredwitz, Stadt</t>
  </si>
  <si>
    <t>Pfungstadt, Stadt</t>
  </si>
  <si>
    <t>Pattensen, Stadt</t>
  </si>
  <si>
    <t>Hilden, Stadt</t>
  </si>
  <si>
    <t>Mannheim, Universitätsstadt</t>
  </si>
  <si>
    <t>Maxhütte-Haidhof, Stadt</t>
  </si>
  <si>
    <t>Pohlheim, Stadt</t>
  </si>
  <si>
    <t>Peine, Stadt</t>
  </si>
  <si>
    <t>Hille</t>
  </si>
  <si>
    <t>Marbach am Neckar, Stadt</t>
  </si>
  <si>
    <t>Meitingen, Markt</t>
  </si>
  <si>
    <t>Raunheim, Stadt</t>
  </si>
  <si>
    <t>Quakenbrück, Stadt</t>
  </si>
  <si>
    <t>Hörstel, Stadt</t>
  </si>
  <si>
    <t>Markdorf, Stadt</t>
  </si>
  <si>
    <t>Memmingen, Stadt</t>
  </si>
  <si>
    <t>Reinheim, Stadt</t>
  </si>
  <si>
    <t>Rastede</t>
  </si>
  <si>
    <t>Hövelhof</t>
  </si>
  <si>
    <t>Markgröningen, Stadt</t>
  </si>
  <si>
    <t>Mering, Markt</t>
  </si>
  <si>
    <t>Reiskirchen</t>
  </si>
  <si>
    <t>Rehburg-Loccum, Stadt</t>
  </si>
  <si>
    <t>Höxter, Stadt</t>
  </si>
  <si>
    <t>Meckenbeuren</t>
  </si>
  <si>
    <t>Miesbach, Stadt</t>
  </si>
  <si>
    <t>Riedstadt, Stadt</t>
  </si>
  <si>
    <t>Rhauderfehn</t>
  </si>
  <si>
    <t>Holzwickede</t>
  </si>
  <si>
    <t>Metzingen, Stadt</t>
  </si>
  <si>
    <t>Mindelheim, Stadt</t>
  </si>
  <si>
    <t>Rodenbach</t>
  </si>
  <si>
    <t>Rinteln, Stadt</t>
  </si>
  <si>
    <t>Horn-Bad Meinberg, Stadt</t>
  </si>
  <si>
    <t>Möglingen</t>
  </si>
  <si>
    <t>Mömbris, Markt</t>
  </si>
  <si>
    <t>Rodgau, Stadt</t>
  </si>
  <si>
    <t>Ritterhude</t>
  </si>
  <si>
    <t>Hückelhoven, Stadt</t>
  </si>
  <si>
    <t>Mössingen, Stadt</t>
  </si>
  <si>
    <t>Moosburg an der Isar, Stadt</t>
  </si>
  <si>
    <t>Rödermark, Stadt</t>
  </si>
  <si>
    <t>Ronnenberg, Stadt</t>
  </si>
  <si>
    <t>Hückeswagen, Stadt</t>
  </si>
  <si>
    <t>Mosbach, Stadt</t>
  </si>
  <si>
    <t>Mühldorf am Inn, Stadt</t>
  </si>
  <si>
    <t>Rosbach v. d. Höhe, Stadt</t>
  </si>
  <si>
    <t>Rosdorf</t>
  </si>
  <si>
    <t>Hüllhorst</t>
  </si>
  <si>
    <t>Mühlacker, Stadt</t>
  </si>
  <si>
    <t>Münchberg, Stadt</t>
  </si>
  <si>
    <t>Roßdorf</t>
  </si>
  <si>
    <t>Rosengarten</t>
  </si>
  <si>
    <t>Hünxe</t>
  </si>
  <si>
    <t>Müllheim, Stadt</t>
  </si>
  <si>
    <t>München, Stadt</t>
  </si>
  <si>
    <t>Rotenburg a. d. Fulda, Stadt</t>
  </si>
  <si>
    <t>Rotenburg (Wümme), Stadt</t>
  </si>
  <si>
    <t>Hürth, Stadt</t>
  </si>
  <si>
    <t>Münsingen, Stadt</t>
  </si>
  <si>
    <t>Murnau am Staffelsee, Markt</t>
  </si>
  <si>
    <t>Rüsselsheim, Stadt</t>
  </si>
  <si>
    <t>Salzgitter, Stadt</t>
  </si>
  <si>
    <t>Ibbenbüren, Stadt</t>
  </si>
  <si>
    <t>Murrhardt, Stadt</t>
  </si>
  <si>
    <t>Neubiberg</t>
  </si>
  <si>
    <t>Schlüchtern, Stadt</t>
  </si>
  <si>
    <t>Sarstedt, Stadt</t>
  </si>
  <si>
    <t>Iserlohn, Stadt</t>
  </si>
  <si>
    <t>Nagold, Stadt</t>
  </si>
  <si>
    <t>Neuburg an der Donau, Stadt</t>
  </si>
  <si>
    <t>Schöneck</t>
  </si>
  <si>
    <t>Sassenburg</t>
  </si>
  <si>
    <t>Isselburg, Stadt</t>
  </si>
  <si>
    <t>Neckargemünd, Stadt</t>
  </si>
  <si>
    <t>Neufahrn bei Freising</t>
  </si>
  <si>
    <t>Schotten, Stadt</t>
  </si>
  <si>
    <t>Saterland</t>
  </si>
  <si>
    <t>Issum</t>
  </si>
  <si>
    <t>Neckarsulm, Stadt</t>
  </si>
  <si>
    <t>Neumarkt i. d. Oberpfalz, Stadt</t>
  </si>
  <si>
    <t>Schwalbach am Taunus, Stadt</t>
  </si>
  <si>
    <t>Scheeßel</t>
  </si>
  <si>
    <t>Jüchen</t>
  </si>
  <si>
    <t>Neuenburg am Rhein, Stadt</t>
  </si>
  <si>
    <t>Neusäß, Stadt</t>
  </si>
  <si>
    <t>Schwalmstadt, Stadt</t>
  </si>
  <si>
    <t>Schiffdorf</t>
  </si>
  <si>
    <t>Jülich, Stadt</t>
  </si>
  <si>
    <t>Neuhausen auf den Fildern</t>
  </si>
  <si>
    <t>Neustadt an der Aisch, Stadt</t>
  </si>
  <si>
    <t>Seeheim-Jugenheim</t>
  </si>
  <si>
    <t>Schneverdingen, Stadt</t>
  </si>
  <si>
    <t>Kaarst, Stadt</t>
  </si>
  <si>
    <t>Niefern-Öschelbronn</t>
  </si>
  <si>
    <t>Neustadt an der Donau, Stadt</t>
  </si>
  <si>
    <t>Seligenstadt, Stadt</t>
  </si>
  <si>
    <t>Schöningen, Stadt</t>
  </si>
  <si>
    <t>Kalkar, Stadt</t>
  </si>
  <si>
    <t>Nürtingen, Stadt</t>
  </si>
  <si>
    <t>Neustadt bei Coburg, Stadt</t>
  </si>
  <si>
    <t>Solms, Stadt</t>
  </si>
  <si>
    <t>Schortens, Stadt</t>
  </si>
  <si>
    <t>Kall</t>
  </si>
  <si>
    <t>Nußloch</t>
  </si>
  <si>
    <t>Neutraubling, Stadt</t>
  </si>
  <si>
    <t>Stadtallendorf, Stadt</t>
  </si>
  <si>
    <t>Schüttorf, Stadt</t>
  </si>
  <si>
    <t>Kalletal</t>
  </si>
  <si>
    <t>Oberderdingen</t>
  </si>
  <si>
    <t>Neu-Ulm, Stadt</t>
  </si>
  <si>
    <t>Steinau an der Straße, Brüder-Grimm-Stadt</t>
  </si>
  <si>
    <t>Schwanewede</t>
  </si>
  <si>
    <t>Kamen, Stadt</t>
  </si>
  <si>
    <t>Oberkirch, Stadt</t>
  </si>
  <si>
    <t>Nördlingen, Stadt</t>
  </si>
  <si>
    <t>Steinbach (Taunus), Stadt</t>
  </si>
  <si>
    <t>Seelze, Stadt</t>
  </si>
  <si>
    <t>Kamp-Lintfort, Stadt</t>
  </si>
  <si>
    <t>Oberndorf am Neckar, Stadt</t>
  </si>
  <si>
    <t>Nürnberg, Stadt</t>
  </si>
  <si>
    <t>Taunusstein, Stadt</t>
  </si>
  <si>
    <t>Seesen, Stadt</t>
  </si>
  <si>
    <t>Kempen, Stadt</t>
  </si>
  <si>
    <t>Obersulm</t>
  </si>
  <si>
    <t>Oberasbach, Stadt</t>
  </si>
  <si>
    <t>Trebur</t>
  </si>
  <si>
    <t>Seevetal</t>
  </si>
  <si>
    <t>Kerken</t>
  </si>
  <si>
    <t>Öhringen, Stadt</t>
  </si>
  <si>
    <t>Oberhaching</t>
  </si>
  <si>
    <t>Usingen, Stadt</t>
  </si>
  <si>
    <t>Sehnde, Stadt</t>
  </si>
  <si>
    <t>Kerpen, Stadt</t>
  </si>
  <si>
    <t>Östringen, Stadt</t>
  </si>
  <si>
    <t>Oberschleißheim</t>
  </si>
  <si>
    <t>Vellmar, Stadt</t>
  </si>
  <si>
    <t>Soltau, Stadt</t>
  </si>
  <si>
    <t>Kevelaer, Stadt</t>
  </si>
  <si>
    <t>Offenburg, Stadt</t>
  </si>
  <si>
    <t>Ochsenfurt, Stadt</t>
  </si>
  <si>
    <t>Viernheim, Stadt</t>
  </si>
  <si>
    <t>Springe, Stadt</t>
  </si>
  <si>
    <t>Kierspe, Stadt</t>
  </si>
  <si>
    <t>Oftersheim</t>
  </si>
  <si>
    <t>Olching, Stadt</t>
  </si>
  <si>
    <t>Wächtersbach, Stadt</t>
  </si>
  <si>
    <t>Stade, Hansestadt</t>
  </si>
  <si>
    <t>Kirchhundem</t>
  </si>
  <si>
    <t>Ostfildern, Stadt</t>
  </si>
  <si>
    <t>Osterhofen, Stadt</t>
  </si>
  <si>
    <t>Wald-Michelbach</t>
  </si>
  <si>
    <t>Stadthagen, Stadt</t>
  </si>
  <si>
    <t>Kirchlengern</t>
  </si>
  <si>
    <t>Pfinztal</t>
  </si>
  <si>
    <t>Ottobrunn</t>
  </si>
  <si>
    <t>Weilburg, Stadt</t>
  </si>
  <si>
    <t>Stelle</t>
  </si>
  <si>
    <t>Kleve, Stadt</t>
  </si>
  <si>
    <t>Pforzheim, Stadt</t>
  </si>
  <si>
    <t>Passau, Stadt</t>
  </si>
  <si>
    <t>Weiterstadt, Stadt</t>
  </si>
  <si>
    <t>Stuhr</t>
  </si>
  <si>
    <t>Köln, Stadt</t>
  </si>
  <si>
    <t>Pfullendorf, Stadt</t>
  </si>
  <si>
    <t>Pegnitz, Stadt</t>
  </si>
  <si>
    <t>Wettenberg</t>
  </si>
  <si>
    <t>Südbrookmerland</t>
  </si>
  <si>
    <t>Königswinter, Stadt</t>
  </si>
  <si>
    <t>Pfullingen, Stadt</t>
  </si>
  <si>
    <t>Peißenberg, Markt</t>
  </si>
  <si>
    <t>Wetzlar, Stadt</t>
  </si>
  <si>
    <t>Sulingen, Stadt</t>
  </si>
  <si>
    <t>Korschenbroich, Stadt</t>
  </si>
  <si>
    <t>Philippsburg, Stadt</t>
  </si>
  <si>
    <t>Peiting, Markt</t>
  </si>
  <si>
    <t>Wiesbaden, Landeshauptstadt</t>
  </si>
  <si>
    <t>Syke, Stadt</t>
  </si>
  <si>
    <t>Kranenburg</t>
  </si>
  <si>
    <t>Plankstadt</t>
  </si>
  <si>
    <t>Penzberg, Stadt</t>
  </si>
  <si>
    <t>Witzenhausen, Stadt</t>
  </si>
  <si>
    <t>Tostedt</t>
  </si>
  <si>
    <t>Krefeld, Stadt</t>
  </si>
  <si>
    <t>Plochingen, Stadt</t>
  </si>
  <si>
    <t>Pfaffenhofen a. d. Ilm, Stadt</t>
  </si>
  <si>
    <t>Wolfhagen, Stadt</t>
  </si>
  <si>
    <t>Twistringen, Stadt</t>
  </si>
  <si>
    <t>Kreuzau</t>
  </si>
  <si>
    <t>Radolfzell am Bodensee, Stadt</t>
  </si>
  <si>
    <t>Pfarrkirchen, Stadt</t>
  </si>
  <si>
    <t>Uelzen, Stadt</t>
  </si>
  <si>
    <t>Kreuztal, Stadt</t>
  </si>
  <si>
    <t>Rastatt, Stadt</t>
  </si>
  <si>
    <t>Planegg</t>
  </si>
  <si>
    <t>Uetze</t>
  </si>
  <si>
    <t>Kürten</t>
  </si>
  <si>
    <t>Ravensburg, Stadt</t>
  </si>
  <si>
    <t>Plattling, Stadt</t>
  </si>
  <si>
    <t>Uplengen</t>
  </si>
  <si>
    <t>Lage, Stadt</t>
  </si>
  <si>
    <t>Remchingen</t>
  </si>
  <si>
    <t>Pocking, Stadt</t>
  </si>
  <si>
    <t>Uslar, Stadt</t>
  </si>
  <si>
    <t>Langenfeld (Rheinland), Stadt</t>
  </si>
  <si>
    <t>Remseck am Neckar</t>
  </si>
  <si>
    <t>Poing</t>
  </si>
  <si>
    <t>Varel, Stadt</t>
  </si>
  <si>
    <t>Langerwehe</t>
  </si>
  <si>
    <t>Remshalden</t>
  </si>
  <si>
    <t>Prien am Chiemsee, Markt</t>
  </si>
  <si>
    <t>Vechelde</t>
  </si>
  <si>
    <t>Leichlingen (Rheinland), Stadt</t>
  </si>
  <si>
    <t>Renningen, Stadt</t>
  </si>
  <si>
    <t>Puchheim, Stadt</t>
  </si>
  <si>
    <t>Vechta, Stadt</t>
  </si>
  <si>
    <t>Lemgo, Stadt</t>
  </si>
  <si>
    <t>Reutlingen, Stadt</t>
  </si>
  <si>
    <t>Raubling</t>
  </si>
  <si>
    <t>Verden (Aller), Stadt</t>
  </si>
  <si>
    <t>Lengerich, Stadt</t>
  </si>
  <si>
    <t>Rheinau, Stadt</t>
  </si>
  <si>
    <t>Regen, Stadt</t>
  </si>
  <si>
    <t>Wallenhorst</t>
  </si>
  <si>
    <t>Lennestadt, Stadt</t>
  </si>
  <si>
    <t>Rheinfelden (Baden), Stadt</t>
  </si>
  <si>
    <t>Regensburg, Stadt</t>
  </si>
  <si>
    <t>Walsrode, Stadt</t>
  </si>
  <si>
    <t>Leopoldshöhe</t>
  </si>
  <si>
    <t>Rheinstetten</t>
  </si>
  <si>
    <t>Regenstauf, Markt</t>
  </si>
  <si>
    <t>Wardenburg</t>
  </si>
  <si>
    <t>Leverkusen, Stadt</t>
  </si>
  <si>
    <t>Riedlingen, Stadt</t>
  </si>
  <si>
    <t>Roding, Stadt</t>
  </si>
  <si>
    <t>Wedemark</t>
  </si>
  <si>
    <t>Lichtenau, Stadt</t>
  </si>
  <si>
    <t>Rielasingen-Worblingen</t>
  </si>
  <si>
    <t>Rödental, Stadt</t>
  </si>
  <si>
    <t>Weener, Stadt</t>
  </si>
  <si>
    <t>Lindlar</t>
  </si>
  <si>
    <t>Rottenburg am Neckar, Stadt</t>
  </si>
  <si>
    <t>Röthenbach a. d. Pegnitz, Stadt</t>
  </si>
  <si>
    <t>Wendeburg</t>
  </si>
  <si>
    <t>Linnich, Stadt</t>
  </si>
  <si>
    <t>Rottweil, Stadt</t>
  </si>
  <si>
    <t>Rosenheim, Stadt</t>
  </si>
  <si>
    <t>Wennigsen (Deister)</t>
  </si>
  <si>
    <t>Lippetal</t>
  </si>
  <si>
    <t>Rudersberg</t>
  </si>
  <si>
    <t>Roth, Stadt</t>
  </si>
  <si>
    <t>Westerstede, Stadt</t>
  </si>
  <si>
    <t>Lippstadt, Stadt</t>
  </si>
  <si>
    <t>Rutesheim, Stadt</t>
  </si>
  <si>
    <t>Rothenburg ob der Tauber, Stadt</t>
  </si>
  <si>
    <t>Westoverledingen</t>
  </si>
  <si>
    <t>Löhne, Stadt</t>
  </si>
  <si>
    <t>Sachsenheim, Stadt</t>
  </si>
  <si>
    <t>Schongau, Stadt</t>
  </si>
  <si>
    <t>Weyhe</t>
  </si>
  <si>
    <t>Lohmar, Stadt</t>
  </si>
  <si>
    <t>Salem</t>
  </si>
  <si>
    <t>Schrobenhausen, Stadt</t>
  </si>
  <si>
    <t>Wiefelstede</t>
  </si>
  <si>
    <t>Lotte</t>
  </si>
  <si>
    <t>Sandhausen</t>
  </si>
  <si>
    <t>Schwabach, Stadt</t>
  </si>
  <si>
    <t>Wiesmoor, Stadt</t>
  </si>
  <si>
    <t>Lübbecke, Stadt</t>
  </si>
  <si>
    <t>St. Georgen i. Schwarzwald, Stadt</t>
  </si>
  <si>
    <t>Schwabmünchen, Stadt</t>
  </si>
  <si>
    <t>Wietmarschen</t>
  </si>
  <si>
    <t>Lüdenscheid, Stadt</t>
  </si>
  <si>
    <t>Sankt Leon-Rot</t>
  </si>
  <si>
    <t>Schwandorf, Stadt</t>
  </si>
  <si>
    <t>Wildeshausen, Stadt</t>
  </si>
  <si>
    <t>Lüdinghausen, Stadt</t>
  </si>
  <si>
    <t>Schweinfurt, Stadt</t>
  </si>
  <si>
    <t>Wilhelmshaven, Stadt</t>
  </si>
  <si>
    <t>Lünen, Stadt</t>
  </si>
  <si>
    <t>Schopfheim, Stadt</t>
  </si>
  <si>
    <t>Selb, Stadt</t>
  </si>
  <si>
    <t>Winsen (Aller)</t>
  </si>
  <si>
    <t>Marienheide</t>
  </si>
  <si>
    <t>Schorndorf, Stadt</t>
  </si>
  <si>
    <t>Senden, Stadt</t>
  </si>
  <si>
    <t>Winsen (Luhe), Stadt</t>
  </si>
  <si>
    <t>Marl, Stadt</t>
  </si>
  <si>
    <t>Schramberg, Stadt</t>
  </si>
  <si>
    <t>Sonthofen, Stadt</t>
  </si>
  <si>
    <t>Wittingen, Stadt</t>
  </si>
  <si>
    <t>Marsberg, Stadt</t>
  </si>
  <si>
    <t>Schriesheim, Stadt</t>
  </si>
  <si>
    <t>Stadtbergen, Stadt</t>
  </si>
  <si>
    <t>Wittmund, Stadt</t>
  </si>
  <si>
    <t>Mechernich, Stadt</t>
  </si>
  <si>
    <t>Schwäbisch Gmünd, Stadt</t>
  </si>
  <si>
    <t>Starnberg, Stadt</t>
  </si>
  <si>
    <t>Wolfenbüttel, Stadt</t>
  </si>
  <si>
    <t>Meckenheim, Stadt</t>
  </si>
  <si>
    <t>Schwäbisch Hall, Stadt</t>
  </si>
  <si>
    <t>Stein, Stadt</t>
  </si>
  <si>
    <t>Wolfsburg, Stadt</t>
  </si>
  <si>
    <t>Meerbusch, Stadt</t>
  </si>
  <si>
    <t>Schwaigern, Stadt</t>
  </si>
  <si>
    <t>Stephanskirchen</t>
  </si>
  <si>
    <t>Wunstorf, Stadt</t>
  </si>
  <si>
    <t>Meinerzhagen, Stadt</t>
  </si>
  <si>
    <t>Schwetzingen, Stadt</t>
  </si>
  <si>
    <t>Straubing, Stadt</t>
  </si>
  <si>
    <t>Zetel</t>
  </si>
  <si>
    <t>Menden (Sauerland), Stadt</t>
  </si>
  <si>
    <t>Schwieberdingen</t>
  </si>
  <si>
    <t>Sulzbach-Rosenberg, Stadt</t>
  </si>
  <si>
    <t>Zeven, Stadt</t>
  </si>
  <si>
    <t>Meschede, Stadt</t>
  </si>
  <si>
    <t>Sigmaringen, Stadt</t>
  </si>
  <si>
    <t>Taufkirchen</t>
  </si>
  <si>
    <t>Mettingen</t>
  </si>
  <si>
    <t>Sindelfingen, Stadt</t>
  </si>
  <si>
    <t>Traunreut, Stadt</t>
  </si>
  <si>
    <t>Mettmann, Stadt</t>
  </si>
  <si>
    <t>Singen (Hohentwiel), Stadt</t>
  </si>
  <si>
    <t>Traunstein, Stadt</t>
  </si>
  <si>
    <t>Minden, Stadt</t>
  </si>
  <si>
    <t>Sinsheim, Stadt</t>
  </si>
  <si>
    <t>Treuchtlingen, Stadt</t>
  </si>
  <si>
    <t>Möhnesee</t>
  </si>
  <si>
    <t>Sinzheim</t>
  </si>
  <si>
    <t>Trostberg, Stadt</t>
  </si>
  <si>
    <t>Mönchengladbach, Stadt</t>
  </si>
  <si>
    <t>Spaichingen, Stadt</t>
  </si>
  <si>
    <t>Unterföhring</t>
  </si>
  <si>
    <t>Moers, Stadt</t>
  </si>
  <si>
    <t>Steinheim an der Murr, Stadt</t>
  </si>
  <si>
    <t>Unterhaching</t>
  </si>
  <si>
    <t>Monheim am Rhein, Stadt</t>
  </si>
  <si>
    <t>Stockach, Stadt</t>
  </si>
  <si>
    <t>Unterschleißheim, Stadt</t>
  </si>
  <si>
    <t>Monschau, Stadt</t>
  </si>
  <si>
    <t>Straubenhardt</t>
  </si>
  <si>
    <t>Vaterstetten</t>
  </si>
  <si>
    <t>Morsbach</t>
  </si>
  <si>
    <t>Stutensee, Stadt</t>
  </si>
  <si>
    <t>Vilsbiburg, Stadt</t>
  </si>
  <si>
    <t>Much</t>
  </si>
  <si>
    <t>Stuttgart, Landeshauptstadt</t>
  </si>
  <si>
    <t>Vilshofen a. d. Donau, Stadt</t>
  </si>
  <si>
    <t>Mülheim an der Ruhr, Stadt</t>
  </si>
  <si>
    <t>Sulz am Neckar, Stadt</t>
  </si>
  <si>
    <t>Vöhringen, Stadt</t>
  </si>
  <si>
    <t>Münster, Stadt</t>
  </si>
  <si>
    <t>Tamm</t>
  </si>
  <si>
    <t>Waldkirchen, Stadt</t>
  </si>
  <si>
    <t>Netphen</t>
  </si>
  <si>
    <t>Tauberbischofsheim, Stadt</t>
  </si>
  <si>
    <t>Waldkraiburg, Stadt</t>
  </si>
  <si>
    <t>Nettetal, Stadt</t>
  </si>
  <si>
    <t>Teningen</t>
  </si>
  <si>
    <t>Wasserburg am Inn, Stadt</t>
  </si>
  <si>
    <t>Neuenkirchen</t>
  </si>
  <si>
    <t>Tettnang, Stadt</t>
  </si>
  <si>
    <t>Weiden i. d. Oberpfalz, Stadt</t>
  </si>
  <si>
    <t>Neuenrade, Stadt</t>
  </si>
  <si>
    <t>Titisee-Neustadt, Stadt</t>
  </si>
  <si>
    <t>Weilheim i. Oberbayern, Stadt</t>
  </si>
  <si>
    <t>Neukirchen-Vluyn, Stadt</t>
  </si>
  <si>
    <t>Trossingen, Stadt</t>
  </si>
  <si>
    <t>Weißenburg i. Bayern, Stadt</t>
  </si>
  <si>
    <t>Neunkirchen</t>
  </si>
  <si>
    <t>Tübingen, Universitätsstadt</t>
  </si>
  <si>
    <t>Weißenhorn, Stadt</t>
  </si>
  <si>
    <t>Neunkirchen-Seelscheid</t>
  </si>
  <si>
    <t>Tuttlingen, Stadt</t>
  </si>
  <si>
    <t>Wendelstein, Markt</t>
  </si>
  <si>
    <t>Neuss, Stadt</t>
  </si>
  <si>
    <t>Ubstadt-Weiher</t>
  </si>
  <si>
    <t>Werneck, Markt</t>
  </si>
  <si>
    <t>Niederkassel, Stadt</t>
  </si>
  <si>
    <t>Überlingen, Stadt</t>
  </si>
  <si>
    <t>Wolfratshausen, Stadt</t>
  </si>
  <si>
    <t>Niederkrüchten</t>
  </si>
  <si>
    <t>Uhingen, Stadt</t>
  </si>
  <si>
    <t>Wolnzach, Markt</t>
  </si>
  <si>
    <t>Niederzier</t>
  </si>
  <si>
    <t>Ulm, Universitätsstadt</t>
  </si>
  <si>
    <t>Würzburg, Stadt</t>
  </si>
  <si>
    <t>Nörvenich</t>
  </si>
  <si>
    <t>Vaihingen an der Enz, Stadt</t>
  </si>
  <si>
    <t>Zirndorf, Stadt</t>
  </si>
  <si>
    <t>Nottuln</t>
  </si>
  <si>
    <t>Villingen-Schwenningen, Stadt</t>
  </si>
  <si>
    <t>Nümbrecht</t>
  </si>
  <si>
    <t>Waghäusel, Stadt</t>
  </si>
  <si>
    <t>Oberhausen, Stadt</t>
  </si>
  <si>
    <t>Waiblingen, Stadt</t>
  </si>
  <si>
    <t>Ochtrup, Stadt</t>
  </si>
  <si>
    <t>Waldbronn</t>
  </si>
  <si>
    <t>Odenthal</t>
  </si>
  <si>
    <t>Waldkirch, Stadt</t>
  </si>
  <si>
    <t>Oelde, Stadt</t>
  </si>
  <si>
    <t>Waldshut-Tiengen, Stadt</t>
  </si>
  <si>
    <t>Oer-Erkenschwick, Stadt</t>
  </si>
  <si>
    <t>Walldorf, Stadt</t>
  </si>
  <si>
    <t>Örlinghausen, Stadt</t>
  </si>
  <si>
    <t>Walldürn, Stadt</t>
  </si>
  <si>
    <t>Olfen, Stadt</t>
  </si>
  <si>
    <t>Wangen im Allgäu, Stadt</t>
  </si>
  <si>
    <t>Olpe, Stadt</t>
  </si>
  <si>
    <t>Wehr, Stadt</t>
  </si>
  <si>
    <t>Olsberg, Stadt</t>
  </si>
  <si>
    <t>Weil am Rhein, Stadt</t>
  </si>
  <si>
    <t>Ostbevern</t>
  </si>
  <si>
    <t>Weil der Stadt, Stadt</t>
  </si>
  <si>
    <t>Overath</t>
  </si>
  <si>
    <t>Weingarten (Baden)</t>
  </si>
  <si>
    <t>Paderborn, Stadt</t>
  </si>
  <si>
    <t>Weingarten, Stadt</t>
  </si>
  <si>
    <t>Petershagen, Stadt</t>
  </si>
  <si>
    <t>Weinheim, Stadt</t>
  </si>
  <si>
    <t>Plettenberg, Stadt</t>
  </si>
  <si>
    <t>Weinsberg, Stadt</t>
  </si>
  <si>
    <t>Porta Westfalica, Stadt</t>
  </si>
  <si>
    <t>Weinstadt, Stadt</t>
  </si>
  <si>
    <t>Preussisch Oldendorf, Stadt</t>
  </si>
  <si>
    <t>Welzheim, Stadt</t>
  </si>
  <si>
    <t>Pulheim, Stadt</t>
  </si>
  <si>
    <t>Wendlingen am Neckar, Stadt</t>
  </si>
  <si>
    <t>Radevormwald, Stadt</t>
  </si>
  <si>
    <t>Wernau (Neckar), Stadt</t>
  </si>
  <si>
    <t>Raesfeld</t>
  </si>
  <si>
    <t>Wertheim, Stadt</t>
  </si>
  <si>
    <t>Rahden, Stadt</t>
  </si>
  <si>
    <t>Wiesloch, Stadt</t>
  </si>
  <si>
    <t>Ratingen, Stadt</t>
  </si>
  <si>
    <t>Winnenden, Stadt</t>
  </si>
  <si>
    <t>Recke</t>
  </si>
  <si>
    <t>Recklinghausen, Stadt</t>
  </si>
  <si>
    <t>Rees, Stadt</t>
  </si>
  <si>
    <t>Reichshof</t>
  </si>
  <si>
    <t>Reken</t>
  </si>
  <si>
    <t>Remscheid, Stadt</t>
  </si>
  <si>
    <t>Rheda-Wiedenbrück, Stadt</t>
  </si>
  <si>
    <t>Rhede, Stadt</t>
  </si>
  <si>
    <t>Rheinbach, Stadt</t>
  </si>
  <si>
    <t>Rheinberg, Stadt</t>
  </si>
  <si>
    <t>Rheine, Stadt</t>
  </si>
  <si>
    <t>Rietberg, Stadt</t>
  </si>
  <si>
    <t>Rösrath</t>
  </si>
  <si>
    <t>Rommerskirchen</t>
  </si>
  <si>
    <t>Rosendahl</t>
  </si>
  <si>
    <t>Rüthen, Stadt</t>
  </si>
  <si>
    <t>Ruppichteroth</t>
  </si>
  <si>
    <t>Salzkotten, Stadt</t>
  </si>
  <si>
    <t>Sankt Augustin, Stadt</t>
  </si>
  <si>
    <t>Sassenberg, Stadt</t>
  </si>
  <si>
    <t>Schalksmühle</t>
  </si>
  <si>
    <t>Schermbeck</t>
  </si>
  <si>
    <t>Schleiden, Stadt</t>
  </si>
  <si>
    <t>Schloß Holte-Stukenbrock</t>
  </si>
  <si>
    <t>Schmallenberg, Stadt</t>
  </si>
  <si>
    <t>Schwalmtal</t>
  </si>
  <si>
    <t>Schwelm, Stadt</t>
  </si>
  <si>
    <t>Schwerte, Stadt</t>
  </si>
  <si>
    <t>Selm, Stadt</t>
  </si>
  <si>
    <t>Senden</t>
  </si>
  <si>
    <t>Sendenhorst, Stadt</t>
  </si>
  <si>
    <t>Siegburg, Stadt</t>
  </si>
  <si>
    <t>Siegen, Stadt</t>
  </si>
  <si>
    <t>Simmerath</t>
  </si>
  <si>
    <t>Soest, Stadt</t>
  </si>
  <si>
    <t>Solingen, Stadt</t>
  </si>
  <si>
    <t>Spenge, Stadt</t>
  </si>
  <si>
    <t>Sprockhövel, Stadt</t>
  </si>
  <si>
    <t>Stadtlohn, Stadt</t>
  </si>
  <si>
    <t>Steinfurt, Stadt</t>
  </si>
  <si>
    <t>Steinhagen</t>
  </si>
  <si>
    <t>Steinheim, Stadt</t>
  </si>
  <si>
    <t>Stemwede</t>
  </si>
  <si>
    <t>Stolberg (Rheinland), Stadt</t>
  </si>
  <si>
    <t>Straelen, Stadt</t>
  </si>
  <si>
    <t>Sundern (Sauerland), Stadt</t>
  </si>
  <si>
    <t>Swisttal</t>
  </si>
  <si>
    <t>Telgte, Stadt</t>
  </si>
  <si>
    <t>Tönisvorst, Stadt</t>
  </si>
  <si>
    <t>Troisdorf, Stadt</t>
  </si>
  <si>
    <t>Übach-Palenberg, Stadt</t>
  </si>
  <si>
    <t>Unna, Stadt</t>
  </si>
  <si>
    <t>Velbert, Stadt</t>
  </si>
  <si>
    <t>Velen</t>
  </si>
  <si>
    <t>Verl</t>
  </si>
  <si>
    <t>Versmold, Stadt</t>
  </si>
  <si>
    <t>Viersen, Stadt</t>
  </si>
  <si>
    <t>Vlotho, Stadt</t>
  </si>
  <si>
    <t>Voerde (Niederrhein), Stadt</t>
  </si>
  <si>
    <t>Vreden, Stadt</t>
  </si>
  <si>
    <t>Wachtberg</t>
  </si>
  <si>
    <t>Wadersloh</t>
  </si>
  <si>
    <t>Waldbröl, Stadt</t>
  </si>
  <si>
    <t>Waltrop, Stadt</t>
  </si>
  <si>
    <t>Warburg, Stadt</t>
  </si>
  <si>
    <t>Warendorf, Stadt</t>
  </si>
  <si>
    <t>Warstein, Stadt</t>
  </si>
  <si>
    <t>Wassenberg, Stadt</t>
  </si>
  <si>
    <t>Weeze</t>
  </si>
  <si>
    <t>Wegberg, Stadt</t>
  </si>
  <si>
    <t>Weilerswist</t>
  </si>
  <si>
    <t>Welver</t>
  </si>
  <si>
    <t>Wenden</t>
  </si>
  <si>
    <t>Werdohl, Stadt</t>
  </si>
  <si>
    <t>Werl, Stadt</t>
  </si>
  <si>
    <t>Wermelskirchen, Stadt</t>
  </si>
  <si>
    <t>Werne, Stadt</t>
  </si>
  <si>
    <t>Werther (Westfalen), Stadt</t>
  </si>
  <si>
    <t>Wesel, Stadt</t>
  </si>
  <si>
    <t>Wesseling, Stadt</t>
  </si>
  <si>
    <t>Westerkappeln</t>
  </si>
  <si>
    <t>Wetter (Ruhr), Stadt</t>
  </si>
  <si>
    <t>Wickede (Ruhr)</t>
  </si>
  <si>
    <t>Wiehl, Stadt</t>
  </si>
  <si>
    <t>Willich, Stadt</t>
  </si>
  <si>
    <t>Wilnsdorf</t>
  </si>
  <si>
    <t>Windeck</t>
  </si>
  <si>
    <t>Winterberg, Stadt</t>
  </si>
  <si>
    <t>Wipperfürth, Stadt</t>
  </si>
  <si>
    <t>Witten, Stadt</t>
  </si>
  <si>
    <t>Wülfrath, Stadt</t>
  </si>
  <si>
    <t>Würselen, Stadt</t>
  </si>
  <si>
    <t>Wuppertal, Stadt</t>
  </si>
  <si>
    <t>Xanten, Stadt</t>
  </si>
  <si>
    <t>Zülpich, Stadt</t>
  </si>
  <si>
    <t>Bundesland</t>
  </si>
  <si>
    <t>Mietenstufe:</t>
  </si>
  <si>
    <t>Kreis Alb-Donau-Kreis</t>
  </si>
  <si>
    <t>Kreis Biberach</t>
  </si>
  <si>
    <t>Kreis Bodenseekreis</t>
  </si>
  <si>
    <t>Kreis Böblingen</t>
  </si>
  <si>
    <t>Kreis Breisgau-Hochschwarzwald</t>
  </si>
  <si>
    <t>Kreis Calw</t>
  </si>
  <si>
    <t>Kreis Emmendingen</t>
  </si>
  <si>
    <t>Kreis Enzkreis</t>
  </si>
  <si>
    <t>Kreis Esslingen</t>
  </si>
  <si>
    <t>Kreis Freudenstadt</t>
  </si>
  <si>
    <t>Kreis Göppingen</t>
  </si>
  <si>
    <t>Kreis Heidenheim</t>
  </si>
  <si>
    <t>Kreis Heilbronn</t>
  </si>
  <si>
    <t>Kreis Hohenlohekreis</t>
  </si>
  <si>
    <t>Kreis Karlsruhe</t>
  </si>
  <si>
    <t>Kreis Konstanz</t>
  </si>
  <si>
    <t>Kreis Lörrach</t>
  </si>
  <si>
    <t>Kreis Ludwigsburg</t>
  </si>
  <si>
    <t>Kreis Main-Tauber-Kreis</t>
  </si>
  <si>
    <t>Kreis Neckar-Odenwald-Kreis</t>
  </si>
  <si>
    <t>Kreis Ortenaukreis</t>
  </si>
  <si>
    <t>Kreis Ostalbkreis</t>
  </si>
  <si>
    <t>Kreis Rastatt</t>
  </si>
  <si>
    <t>Kreis Ravensburg</t>
  </si>
  <si>
    <t>Kreis Rems-Murr-Kreis</t>
  </si>
  <si>
    <t>Kreis Reutlingen</t>
  </si>
  <si>
    <t>Kreis Rhein-Neckar-Kreis</t>
  </si>
  <si>
    <t>Kreis Rottweil</t>
  </si>
  <si>
    <t>Kreis Schwäbisch-Hall</t>
  </si>
  <si>
    <t>Kreis Schwarzwald-Baar-Kreis</t>
  </si>
  <si>
    <t>Kreis Sigmaringen</t>
  </si>
  <si>
    <t>Kreis Tübingen</t>
  </si>
  <si>
    <t>Kreis Tuttlingen</t>
  </si>
  <si>
    <t>Kreis Waldshut</t>
  </si>
  <si>
    <t>Kreis Zollernalbkreis</t>
  </si>
  <si>
    <t>Kreis Aichach-Friedberg</t>
  </si>
  <si>
    <t>Kreis Altötting</t>
  </si>
  <si>
    <t>Kreis Amberg-Sulzbach</t>
  </si>
  <si>
    <t>Kreis Ansbach</t>
  </si>
  <si>
    <t>Kreis Aschaffenburg</t>
  </si>
  <si>
    <t>Kreis Augsburg</t>
  </si>
  <si>
    <t>Kreis Bad Kissingen</t>
  </si>
  <si>
    <t>Kreis Bad Tölz-Wolfratshausen</t>
  </si>
  <si>
    <t>Kreis Bamberg</t>
  </si>
  <si>
    <t>Kreis Bayreuth</t>
  </si>
  <si>
    <t>Kreis Berchtesgadener Land</t>
  </si>
  <si>
    <t>Kreis Cham</t>
  </si>
  <si>
    <t>Kreis Coburg</t>
  </si>
  <si>
    <t>Kreis Dachau</t>
  </si>
  <si>
    <t>Kreis Deggendorf</t>
  </si>
  <si>
    <t>Kreis Dillingen a. d. Donau</t>
  </si>
  <si>
    <t>Kreis Dingolfing-Landau</t>
  </si>
  <si>
    <t>Kreis Donau-Ries</t>
  </si>
  <si>
    <t>Kreis Ebersberg</t>
  </si>
  <si>
    <t>Kreis Eichstätt</t>
  </si>
  <si>
    <t>Kreis Erding</t>
  </si>
  <si>
    <t>Kreis Erlangen-Höchstadt</t>
  </si>
  <si>
    <t>Kreis Forchheim</t>
  </si>
  <si>
    <t>Kreis Freising</t>
  </si>
  <si>
    <t>Kreis Freyung-Grafenau</t>
  </si>
  <si>
    <t>Kreis Fürth</t>
  </si>
  <si>
    <t>Kreis Fürstenfeldbruck</t>
  </si>
  <si>
    <t>Kreis Garmisch-Partenkirchen</t>
  </si>
  <si>
    <t>Kreis Günzburg</t>
  </si>
  <si>
    <t>Kreis Haßberge</t>
  </si>
  <si>
    <t>Kreis Hof</t>
  </si>
  <si>
    <t>Kreis Kelheim</t>
  </si>
  <si>
    <t>Kreis Kitzingen</t>
  </si>
  <si>
    <t>Kreis Kronach</t>
  </si>
  <si>
    <t>Kreis Kulmbach</t>
  </si>
  <si>
    <t>Kreis Landsberg a. Lech</t>
  </si>
  <si>
    <t>Kreis Landshut</t>
  </si>
  <si>
    <t>Kreis Lichtenfels</t>
  </si>
  <si>
    <t>Kreis Lindau (Bodensee)</t>
  </si>
  <si>
    <t>Kreis Main-Spessart</t>
  </si>
  <si>
    <t>Kreis Miesbach</t>
  </si>
  <si>
    <t>Kreis Miltenberg</t>
  </si>
  <si>
    <t>Kreis Mühldorf a. Inn</t>
  </si>
  <si>
    <t>Kreis München</t>
  </si>
  <si>
    <t>Kreis Neuburg-Schrobenhausen</t>
  </si>
  <si>
    <t>Kreis Neumarkt i. d. Oberpfalz</t>
  </si>
  <si>
    <t>Kreis Neustadt a. d. Aisch-Bad Windsheim</t>
  </si>
  <si>
    <t>Kreis Neustadt a. d. Waldnaab</t>
  </si>
  <si>
    <t>Kreis Neu-Ulm</t>
  </si>
  <si>
    <t>Kreis Nürnberger Land</t>
  </si>
  <si>
    <t>Kreis Oberallgäu</t>
  </si>
  <si>
    <t>Kreis Ostallgäu</t>
  </si>
  <si>
    <t>Kreis Passau</t>
  </si>
  <si>
    <t>Kreis Pfaffenhofen a. d. Ilm</t>
  </si>
  <si>
    <t>Kreis Regen</t>
  </si>
  <si>
    <t>Kreis Regensburg</t>
  </si>
  <si>
    <t>Kreis Rhön-Grabfeld</t>
  </si>
  <si>
    <t>Kreis Rosenheim</t>
  </si>
  <si>
    <t>Kreis Roth</t>
  </si>
  <si>
    <t>Kreis Rottal-Inn</t>
  </si>
  <si>
    <t>Kreis Schwandorf</t>
  </si>
  <si>
    <t>Kreis Schweinfurt</t>
  </si>
  <si>
    <t>Kreis Starnberg</t>
  </si>
  <si>
    <t>Kreis Straubing-Bogen</t>
  </si>
  <si>
    <t>Kreis Tirschenreuth</t>
  </si>
  <si>
    <t>Kreis Traunstein</t>
  </si>
  <si>
    <t>Kreis Unterallgäu</t>
  </si>
  <si>
    <t>Kreis Weilheim-Schongau</t>
  </si>
  <si>
    <t>Kreis Weißenburg-Gunzenhausen</t>
  </si>
  <si>
    <t>Kreis Würzburg</t>
  </si>
  <si>
    <t>Kreis Wunsiedel im Fichtelgebirge</t>
  </si>
  <si>
    <t>Kreis Barnim</t>
  </si>
  <si>
    <t>Kreis Dahme-Spreewald</t>
  </si>
  <si>
    <t>Kreis Elbe-Elster</t>
  </si>
  <si>
    <t>Kreis Havelland</t>
  </si>
  <si>
    <t>Kreis Märkisch-Oderland</t>
  </si>
  <si>
    <t>Kreis Oberhavel</t>
  </si>
  <si>
    <t>Kreis Oberspreewald-Lausitz</t>
  </si>
  <si>
    <t>Kreis Oder-Spree</t>
  </si>
  <si>
    <t>Kreis Ostprignitz-Ruppin</t>
  </si>
  <si>
    <t>Kreis Potsdam-Mittelmark</t>
  </si>
  <si>
    <t>Kreis Prignitz</t>
  </si>
  <si>
    <t>Kreis Spree-Neiße</t>
  </si>
  <si>
    <t>Kreis Teltow-Fläming</t>
  </si>
  <si>
    <t>Kreis Uckermark</t>
  </si>
  <si>
    <t>Kreis Bergstraße</t>
  </si>
  <si>
    <t>Kreis Darmstadt-Dieburg</t>
  </si>
  <si>
    <t>Kreis Fulda</t>
  </si>
  <si>
    <t>Kreis Gießen</t>
  </si>
  <si>
    <t>Kreis Groß-Gerau</t>
  </si>
  <si>
    <t>Kreis Hersfeld-Rotenburg</t>
  </si>
  <si>
    <t>Kreis Hochtaunuskreis</t>
  </si>
  <si>
    <t>Kreis Kassel</t>
  </si>
  <si>
    <t>Kreis Lahn-Dill-Kreis</t>
  </si>
  <si>
    <t>Kreis Limburg-Weilburg</t>
  </si>
  <si>
    <t>Kreis Main-Kinzig-Kreis</t>
  </si>
  <si>
    <t>Kreis Main-Taunus-Kreis</t>
  </si>
  <si>
    <t>Kreis Marburg-Biedenkopf</t>
  </si>
  <si>
    <t>Kreis Odenwaldkreis</t>
  </si>
  <si>
    <t>Kreis Offenbach</t>
  </si>
  <si>
    <t>Kreis Rheingau-Taunus-Kreis</t>
  </si>
  <si>
    <t>Kreis Schwalm-Eder-Kreis</t>
  </si>
  <si>
    <t>Kreis Vogelsbergkreis</t>
  </si>
  <si>
    <t>Kreis Waldeck-Frankenberg</t>
  </si>
  <si>
    <t>Kreis Werra-Meißner-Kreis</t>
  </si>
  <si>
    <t>Kreis Wetteraukreis</t>
  </si>
  <si>
    <t>Kreis Aurich</t>
  </si>
  <si>
    <t>Kreis Celle</t>
  </si>
  <si>
    <t>Kreis Cloppenburg</t>
  </si>
  <si>
    <t>Kreis Cuxhaven</t>
  </si>
  <si>
    <t>Kreis Diepholz</t>
  </si>
  <si>
    <t>Kreis Emsland</t>
  </si>
  <si>
    <t>Kreis Friesland</t>
  </si>
  <si>
    <t>Kreis Gifhorn</t>
  </si>
  <si>
    <t>Kreis Goslar</t>
  </si>
  <si>
    <t>Kreis Göttingen</t>
  </si>
  <si>
    <t>Kreis Grafschaft Bentheim</t>
  </si>
  <si>
    <t>Kreis Hameln-Pyrmont</t>
  </si>
  <si>
    <t>Kreis Harburg</t>
  </si>
  <si>
    <t>Kreis Heidekreis</t>
  </si>
  <si>
    <t>Kreis Helmstedt</t>
  </si>
  <si>
    <t>Kreis Hildesheim</t>
  </si>
  <si>
    <t>Kreis Holzminden</t>
  </si>
  <si>
    <t>Kreis Leer</t>
  </si>
  <si>
    <t>Kreis Lüchow-Dannenberg</t>
  </si>
  <si>
    <t>Kreis Lüneburg</t>
  </si>
  <si>
    <t>Kreis Nienburg (Weser)</t>
  </si>
  <si>
    <t>Kreis Northeim</t>
  </si>
  <si>
    <t>Kreis Oldenburg</t>
  </si>
  <si>
    <t>Kreis Osnabrück</t>
  </si>
  <si>
    <t>Kreis Osterholz</t>
  </si>
  <si>
    <t>Kreis Osterode am Harz</t>
  </si>
  <si>
    <t>Kreis Peine</t>
  </si>
  <si>
    <t>Kreis Rotenburg (Wümme)</t>
  </si>
  <si>
    <t>Kreis Schaumburg</t>
  </si>
  <si>
    <t>Kreis Stade</t>
  </si>
  <si>
    <t>Kreis Uelzen</t>
  </si>
  <si>
    <t>Kreis Vechta</t>
  </si>
  <si>
    <t>Kreis Verden</t>
  </si>
  <si>
    <t>Kreis Wesermarsch</t>
  </si>
  <si>
    <t>Kreis Wittmund</t>
  </si>
  <si>
    <t>Kreis Wolfenbüttel</t>
  </si>
  <si>
    <t>Kreis Borken</t>
  </si>
  <si>
    <t>Kreis Coesfeld</t>
  </si>
  <si>
    <t>Kreis Düren</t>
  </si>
  <si>
    <t>Kreis Ennepe-Ruhr-Kreis</t>
  </si>
  <si>
    <t>Kreis Euskirchen</t>
  </si>
  <si>
    <t>Kreis Gütersloh</t>
  </si>
  <si>
    <t>Kreis Heinsberg</t>
  </si>
  <si>
    <t>Kreis Herford</t>
  </si>
  <si>
    <t>Kreis Hochsauerlandkreis</t>
  </si>
  <si>
    <t>Kreis Höxter</t>
  </si>
  <si>
    <t>Kreis Kleve</t>
  </si>
  <si>
    <t>Kreis Lippe</t>
  </si>
  <si>
    <t>Kreis Märkischer Kreis</t>
  </si>
  <si>
    <t>Kreis Paderborn</t>
  </si>
  <si>
    <t>Kreis Siegen-Wittgenstein</t>
  </si>
  <si>
    <t>Kreis Städteregion Aachen</t>
  </si>
  <si>
    <t>Kreis Steinfurt</t>
  </si>
  <si>
    <t>Kreis Warendorf</t>
  </si>
  <si>
    <t>Kreis Wesel</t>
  </si>
  <si>
    <t>Kreis Ahrweiler</t>
  </si>
  <si>
    <t>Kreis Altenkirchen (Westerwald)</t>
  </si>
  <si>
    <t>Kreis Alzey-Worms</t>
  </si>
  <si>
    <t>Kreis Bad Dürkheim</t>
  </si>
  <si>
    <t>Kreis Bad Kreuznach</t>
  </si>
  <si>
    <t>Kreis Bernkastel-Wittlich</t>
  </si>
  <si>
    <t>Kreis Birkenfeld, Nationalparklandkreis</t>
  </si>
  <si>
    <t>Kreis Cochem-Zell</t>
  </si>
  <si>
    <t>Kreis Donnersbergkreis</t>
  </si>
  <si>
    <t>Kreis Eifelkreis Bitburg-Prüm</t>
  </si>
  <si>
    <t>Kreis Germersheim</t>
  </si>
  <si>
    <t>Kreis Kaiserslautern</t>
  </si>
  <si>
    <t>Kreis Kusel</t>
  </si>
  <si>
    <t>Kreis Mainz-Bingen</t>
  </si>
  <si>
    <t>Kreis Mayen-Koblenz</t>
  </si>
  <si>
    <t>Kreis Neuwied</t>
  </si>
  <si>
    <t>Kreis Rhein-Hunsrück-Kreis</t>
  </si>
  <si>
    <t>Kreis Rhein-Lahn-Kreis</t>
  </si>
  <si>
    <t>Kreis Rhein-Pfalz-Kreis</t>
  </si>
  <si>
    <t>Kreis Südliche Weinstraße</t>
  </si>
  <si>
    <t>Kreis Südwestpfalz</t>
  </si>
  <si>
    <t>Kreis Trier-Saarburg</t>
  </si>
  <si>
    <t>Kreis Vulkaneifel</t>
  </si>
  <si>
    <t>Kreis Westerwaldkreis</t>
  </si>
  <si>
    <t>Kreis Merzig-Wadern</t>
  </si>
  <si>
    <t>Kreis Saarlouis</t>
  </si>
  <si>
    <t>Kreis Saarpfalz-Kreis</t>
  </si>
  <si>
    <t>Kreis Sankt Wendel</t>
  </si>
  <si>
    <t>Kreis Regionalverband Saarbrücken</t>
  </si>
  <si>
    <t>Kreis Bautzen</t>
  </si>
  <si>
    <t>Kreis Erzgebirgskreis</t>
  </si>
  <si>
    <t>Kreis Görlitz</t>
  </si>
  <si>
    <t>Kreis Leipzig</t>
  </si>
  <si>
    <t>Kreis Meißen</t>
  </si>
  <si>
    <t>Kreis Mittelsachsen</t>
  </si>
  <si>
    <t>Kreis Nordsachsen</t>
  </si>
  <si>
    <t>Kreis Sächsische Schweiz-Osterzgebirge</t>
  </si>
  <si>
    <t>Kreis Vogtlandkreis</t>
  </si>
  <si>
    <t>Kreis Zwickau</t>
  </si>
  <si>
    <t>Kreis Altmarkkreis-Salzwedel</t>
  </si>
  <si>
    <t>Kreis Anhalt-Bitterfeld</t>
  </si>
  <si>
    <t>Kreis Börde</t>
  </si>
  <si>
    <t>Kreis Burgenlandkreis</t>
  </si>
  <si>
    <t>Kreis Harz</t>
  </si>
  <si>
    <t>Kreis Jerichower Land</t>
  </si>
  <si>
    <t>Kreis Mansfeld-Südharz</t>
  </si>
  <si>
    <t>Kreis Saalekreis</t>
  </si>
  <si>
    <t>Kreis Salzlandkreis</t>
  </si>
  <si>
    <t>Kreis Stendal</t>
  </si>
  <si>
    <t>Kreis Wittenberg</t>
  </si>
  <si>
    <t>Kreis Dithmarschen</t>
  </si>
  <si>
    <t>Kreis Herzogtum Lauenburg</t>
  </si>
  <si>
    <t>Kreis Nordfriesland</t>
  </si>
  <si>
    <t>Kreis Ostholstein</t>
  </si>
  <si>
    <t>Kreis Pinneberg</t>
  </si>
  <si>
    <t>Kreis Plön</t>
  </si>
  <si>
    <t>Kreis Rendsburg-Eckernförde</t>
  </si>
  <si>
    <t>Kreis Schleswig-Flensburg</t>
  </si>
  <si>
    <t>Kreis Segeberg</t>
  </si>
  <si>
    <t>Kreis Steinburg</t>
  </si>
  <si>
    <t>Kreis Stormarn</t>
  </si>
  <si>
    <t>Kreis Altenburger Land</t>
  </si>
  <si>
    <t>Kreis Eichsfeld</t>
  </si>
  <si>
    <t>Kreis Gotha</t>
  </si>
  <si>
    <t>Kreis Greiz</t>
  </si>
  <si>
    <t>Kreis Hildburghausen</t>
  </si>
  <si>
    <t>Kreis Ilm-Kreis</t>
  </si>
  <si>
    <t>Kreis Kyffhäuserkreis</t>
  </si>
  <si>
    <t>Kreis Nordhausen</t>
  </si>
  <si>
    <t>Kreis Saale-Holzland-Kreis</t>
  </si>
  <si>
    <t>Kreis Saale-Orla-Kreis</t>
  </si>
  <si>
    <t>Kreis Saalfeld-Rudolstadt</t>
  </si>
  <si>
    <t>Kreis Schmalkalden-Meiningen</t>
  </si>
  <si>
    <t>Kreis Sömmerda</t>
  </si>
  <si>
    <t>Kreis Sonneberg</t>
  </si>
  <si>
    <t>Kreis Unstrut-Hainich-Kreis</t>
  </si>
  <si>
    <t>Kreis Wartburgkreis</t>
  </si>
  <si>
    <t>Kreis Weimarer Land</t>
  </si>
  <si>
    <t>Alsfeld, Stadt</t>
  </si>
  <si>
    <t>Altenstadt</t>
  </si>
  <si>
    <t>Aßlar, Stadt</t>
  </si>
  <si>
    <t>Babenhausen, Stadt</t>
  </si>
  <si>
    <t>Bad Arolsen, Stadt</t>
  </si>
  <si>
    <t>Bad Camberg, Stadt</t>
  </si>
  <si>
    <t>Bad Hersfeld, Kreisstadt</t>
  </si>
  <si>
    <t>Bad Homburg v. d. Höhe, Stadt</t>
  </si>
  <si>
    <t>Bad Nauheim, Stadt</t>
  </si>
  <si>
    <t>Bad Schwalbach, Kreisstadt</t>
  </si>
  <si>
    <t>Bad Soden am Taunus, Stadt</t>
  </si>
  <si>
    <t>Bad Soden-Salmünster, Stadt</t>
  </si>
  <si>
    <t>Bad Vilbel, Stadt</t>
  </si>
  <si>
    <t>Bad Wildungen, Stadt</t>
  </si>
  <si>
    <t>Baunatal, Stadt</t>
  </si>
  <si>
    <t>Bebra, Stadt</t>
  </si>
  <si>
    <t>Bensheim, Stadt</t>
  </si>
  <si>
    <t>Biedenkopf, Stadt</t>
  </si>
  <si>
    <t>Birkenau</t>
  </si>
  <si>
    <t>Bischofsheim</t>
  </si>
  <si>
    <t>Borken (Hessen), Stadt</t>
  </si>
  <si>
    <t>Braunfels, Stadt</t>
  </si>
  <si>
    <t>Bruchköbel, Stadt</t>
  </si>
  <si>
    <t>Büdingen, Stadt</t>
  </si>
  <si>
    <t>Bürstadt, Stadt</t>
  </si>
  <si>
    <t>Büttelborn</t>
  </si>
  <si>
    <t>Buseck</t>
  </si>
  <si>
    <t>Butzbach, Friedrich-Ludwig-Weidig-Stadt</t>
  </si>
  <si>
    <t>Darmstadt, Wissenschaftsstadt</t>
  </si>
  <si>
    <t>Dautphetal</t>
  </si>
  <si>
    <t>Bad Saulgau, Stadt</t>
  </si>
  <si>
    <t>Kreis Ludwigslust-Parchim</t>
  </si>
  <si>
    <t>Kreis Mecklenburgische Seenplatte</t>
  </si>
  <si>
    <t>Kreis Nordwestmecklenburg</t>
  </si>
  <si>
    <t>Kreis Rostock</t>
  </si>
  <si>
    <t>Kreis Vorpommern-Greifswald</t>
  </si>
  <si>
    <t>Kreis Vorpommern-Rügen</t>
  </si>
  <si>
    <t>Mietenstufe kann auch direkt eingegeben werden</t>
  </si>
  <si>
    <t>Ort, den</t>
  </si>
  <si>
    <t>Tätigkeit 1</t>
  </si>
  <si>
    <t>Tätigkeit 2</t>
  </si>
  <si>
    <t>Gesamt</t>
  </si>
  <si>
    <t>Monat</t>
  </si>
  <si>
    <t>Brutto</t>
  </si>
  <si>
    <t>VwL</t>
  </si>
  <si>
    <t>Abzüge</t>
  </si>
  <si>
    <t>Netto</t>
  </si>
  <si>
    <t xml:space="preserve">Summen: </t>
  </si>
  <si>
    <t>Werte in Eingabeblatt übernehmen für:</t>
  </si>
  <si>
    <t>Durchschnittseinkommen</t>
  </si>
  <si>
    <t>Durchschnittlicher Brutto- und Nettolohn für SGB II Berechnung</t>
  </si>
  <si>
    <t>von den Bruttoeinnahmen werden gezahlt:</t>
  </si>
  <si>
    <t xml:space="preserve">Bedarfsgemeinschaft besteht aus    </t>
  </si>
  <si>
    <t>Schwangerschaft</t>
  </si>
  <si>
    <t>unabweisbarer, laufender, besonderer Bedarf</t>
  </si>
  <si>
    <r>
      <t xml:space="preserve">Warmwasser </t>
    </r>
    <r>
      <rPr>
        <b/>
        <sz val="12"/>
        <rFont val="Arial Narrow"/>
        <family val="2"/>
      </rPr>
      <t>dezentral</t>
    </r>
    <r>
      <rPr>
        <sz val="12"/>
        <rFont val="Arial Narrow"/>
        <family val="2"/>
      </rPr>
      <t xml:space="preserve"> (z.B. Boiler)?</t>
    </r>
  </si>
  <si>
    <r>
      <t>Bruttolohn</t>
    </r>
    <r>
      <rPr>
        <b/>
        <sz val="9"/>
        <rFont val="Arial Narrow"/>
        <family val="2"/>
      </rPr>
      <t xml:space="preserve"> </t>
    </r>
  </si>
  <si>
    <r>
      <t xml:space="preserve">Taschengeld aus </t>
    </r>
    <r>
      <rPr>
        <u/>
        <sz val="12"/>
        <rFont val="Arial Narrow"/>
        <family val="2"/>
      </rPr>
      <t>Freiwilligendiensten</t>
    </r>
  </si>
  <si>
    <r>
      <t xml:space="preserve">Leistungen der Ausbildungsförderung </t>
    </r>
    <r>
      <rPr>
        <b/>
        <i/>
        <u/>
        <sz val="12"/>
        <rFont val="Arial Narrow"/>
        <family val="2"/>
      </rPr>
      <t>(siehe Liste)</t>
    </r>
  </si>
  <si>
    <r>
      <t>Versicherungspauschale 30 €</t>
    </r>
    <r>
      <rPr>
        <i/>
        <sz val="12"/>
        <rFont val="Arial Narrow"/>
        <family val="2"/>
      </rPr>
      <t xml:space="preserve"> </t>
    </r>
    <r>
      <rPr>
        <i/>
        <sz val="9"/>
        <rFont val="Arial Narrow"/>
        <family val="2"/>
      </rPr>
      <t>(wird automatisch berücksichtigt)</t>
    </r>
  </si>
  <si>
    <t>ggf. sind nachfolgend noch weitere Daten zu erfassen!</t>
  </si>
  <si>
    <r>
      <t xml:space="preserve">minderjähriges Kind </t>
    </r>
    <r>
      <rPr>
        <b/>
        <sz val="11.5"/>
        <rFont val="Arial Narrow"/>
        <family val="2"/>
      </rPr>
      <t>außerhalb der BG</t>
    </r>
    <r>
      <rPr>
        <sz val="11.5"/>
        <rFont val="Arial Narrow"/>
        <family val="2"/>
      </rPr>
      <t xml:space="preserve"> vorhanden</t>
    </r>
  </si>
  <si>
    <t>©  MEichler, Stand: 25.03.2017</t>
  </si>
  <si>
    <t>Zuordnung überschüssiges Kindergeld</t>
  </si>
  <si>
    <t>Möglicher Anspruch auf Kinderzuschlag                       in Höhe von</t>
  </si>
  <si>
    <r>
      <t>Möglicher Anspruch auf</t>
    </r>
    <r>
      <rPr>
        <b/>
        <u/>
        <sz val="12"/>
        <rFont val="Arial Narrow"/>
        <family val="2"/>
      </rPr>
      <t xml:space="preserve"> </t>
    </r>
    <r>
      <rPr>
        <b/>
        <sz val="12"/>
        <rFont val="Arial Narrow"/>
        <family val="2"/>
      </rPr>
      <t xml:space="preserve">Wohngeld in Höhe von                </t>
    </r>
    <r>
      <rPr>
        <b/>
        <i/>
        <sz val="12"/>
        <color rgb="FFFF0000"/>
        <rFont val="Arial Narrow"/>
        <family val="2"/>
      </rPr>
      <t xml:space="preserve"> (ggf. sind nachfolgend weitere Daten zu erfassen!)</t>
    </r>
  </si>
  <si>
    <t>ALG II - Berechnungsbogen</t>
  </si>
  <si>
    <r>
      <rPr>
        <b/>
        <sz val="10"/>
        <color rgb="FFFF0000"/>
        <rFont val="Arial"/>
        <family val="2"/>
        <charset val="1"/>
      </rPr>
      <t xml:space="preserve">Bitte beachten, der Rechner liefert halbwegs zuverlässige Ergebnisse nur für Zeiträume </t>
    </r>
    <r>
      <rPr>
        <b/>
        <sz val="12"/>
        <color rgb="FFFF0000"/>
        <rFont val="Arial"/>
        <family val="2"/>
        <charset val="1"/>
      </rPr>
      <t xml:space="preserve">ab 1.8.2016.
</t>
    </r>
    <r>
      <rPr>
        <b/>
        <sz val="10"/>
        <color rgb="FFFF0000"/>
        <rFont val="Arial"/>
        <family val="2"/>
        <charset val="1"/>
      </rPr>
      <t>Bei früheren Zeiträumen kann es zu allerdings kleinen Fehlern bei der Einkommensberechnung und
beim Kindergeld kommen.</t>
    </r>
  </si>
  <si>
    <t>1 = Alleinstehend</t>
  </si>
  <si>
    <t>2 = zwei volljährige Partner</t>
  </si>
  <si>
    <t>3 = ein Partner minderjährig</t>
  </si>
  <si>
    <t>4 = Minderjährig nicht bei Eltern</t>
  </si>
  <si>
    <r>
      <rPr>
        <b/>
        <sz val="10"/>
        <color rgb="FF000000"/>
        <rFont val="Arial"/>
        <family val="2"/>
        <charset val="1"/>
      </rPr>
      <t xml:space="preserve">Anzahl Personen in der BG </t>
    </r>
    <r>
      <rPr>
        <sz val="10"/>
        <rFont val="Arial"/>
        <family val="2"/>
      </rPr>
      <t>(wird automatisch ermittelt)</t>
    </r>
  </si>
  <si>
    <t>Es können nur in den
Gelb hinterlegten Felder
Einträge gemacht werden</t>
  </si>
  <si>
    <t>Nein</t>
  </si>
  <si>
    <t>ab Spalte F Kinder in der BG aufführen</t>
  </si>
  <si>
    <t>Leistungsberechtigte Geburtsdaten</t>
  </si>
  <si>
    <t>Lebensalter</t>
  </si>
  <si>
    <t>Regelleistung/Sozialgeld</t>
  </si>
  <si>
    <r>
      <rPr>
        <b/>
        <sz val="10"/>
        <color rgb="FF000000"/>
        <rFont val="Arial"/>
        <family val="2"/>
        <charset val="1"/>
      </rPr>
      <t xml:space="preserve">Minderjähriges </t>
    </r>
    <r>
      <rPr>
        <sz val="10"/>
        <rFont val="Arial"/>
        <family val="2"/>
      </rPr>
      <t>Kind außerhalb der BG?</t>
    </r>
  </si>
  <si>
    <t>Alleinerziehend?</t>
  </si>
  <si>
    <t>Mehrbedarf Warmwasser Dezentral</t>
  </si>
  <si>
    <t>Mehrbedarf Warmwasser (Höhe) Pauschale</t>
  </si>
  <si>
    <t>Mehrbedarf Warmwasser (Höhe) Einzelrechnung</t>
  </si>
  <si>
    <t>Dezentrale Wasserversorgung Abrechnung</t>
  </si>
  <si>
    <t>Mehrbedarf Ernährung (Pauschale 1 oder 2)</t>
  </si>
  <si>
    <t>Mehrbedarf Ernährung (Bedarfshöhe)</t>
  </si>
  <si>
    <r>
      <rPr>
        <sz val="10"/>
        <rFont val="Arial"/>
        <family val="2"/>
      </rPr>
      <t xml:space="preserve">Mehrbedarf Schwangerschaft  </t>
    </r>
    <r>
      <rPr>
        <b/>
        <sz val="10"/>
        <color rgb="FF000000"/>
        <rFont val="Arial"/>
        <family val="2"/>
        <charset val="1"/>
      </rPr>
      <t>Entbindungstermin eingeben</t>
    </r>
  </si>
  <si>
    <t>Mehrbedarf Schwangerschaft (Bedarfshöhe)</t>
  </si>
  <si>
    <r>
      <rPr>
        <b/>
        <sz val="10"/>
        <color rgb="FF000000"/>
        <rFont val="Arial"/>
        <family val="2"/>
        <charset val="1"/>
      </rPr>
      <t>erwerbsunfähig</t>
    </r>
    <r>
      <rPr>
        <sz val="10"/>
        <rFont val="Arial"/>
        <family val="2"/>
      </rPr>
      <t>, Kennzeichen G</t>
    </r>
  </si>
  <si>
    <t>Mehrbedarf für Kennzeichen G</t>
  </si>
  <si>
    <t>Mehrbedarf Teilhabe Arbeitsleben  Ja/Nein</t>
  </si>
  <si>
    <t>Mehrbedarf Teilhabe Arbeitsl. (Bedarfshöhe)</t>
  </si>
  <si>
    <t>Mehrbedarf Summe</t>
  </si>
  <si>
    <t>Bedarfsanteile Kosten der Unterkunft</t>
  </si>
  <si>
    <t>Kaltmiete</t>
  </si>
  <si>
    <t>Gesamtbedarf KdU (anerkannt)</t>
  </si>
  <si>
    <t>Gesamtbedarfssumme</t>
  </si>
  <si>
    <t>Einkommensanteile</t>
  </si>
  <si>
    <t>Erwerbseinkommen (Lohn/Gehalt) Brutto</t>
  </si>
  <si>
    <t>Erwerbseinkommen (Lohn/Gehalt) Netto</t>
  </si>
  <si>
    <t>Einkommen (Gewinn) aus Selbständigkeit</t>
  </si>
  <si>
    <t>Absetzung (Max. 30 € Versicherungspauschale)</t>
  </si>
  <si>
    <r>
      <rPr>
        <sz val="10"/>
        <rFont val="Arial"/>
        <family val="2"/>
      </rPr>
      <t>Absetzung Krankenversicherung</t>
    </r>
    <r>
      <rPr>
        <b/>
        <sz val="10"/>
        <color rgb="FF000000"/>
        <rFont val="Arial"/>
        <family val="2"/>
        <charset val="1"/>
      </rPr>
      <t xml:space="preserve"> Pflichtbeiträge</t>
    </r>
  </si>
  <si>
    <t>Sind das vorstehend Beiträge für eine private KV?</t>
  </si>
  <si>
    <r>
      <rPr>
        <sz val="10"/>
        <rFont val="Arial"/>
        <family val="2"/>
      </rPr>
      <t xml:space="preserve">Absetzung Pflegeversicherung </t>
    </r>
    <r>
      <rPr>
        <b/>
        <sz val="10"/>
        <color rgb="FF000000"/>
        <rFont val="Arial"/>
        <family val="2"/>
        <charset val="1"/>
      </rPr>
      <t>Pflichtbeiträge</t>
    </r>
  </si>
  <si>
    <r>
      <rPr>
        <sz val="10"/>
        <rFont val="Arial"/>
        <family val="2"/>
      </rPr>
      <t xml:space="preserve">Absetzung Rentenversicherung </t>
    </r>
    <r>
      <rPr>
        <b/>
        <sz val="10"/>
        <color rgb="FF000000"/>
        <rFont val="Arial"/>
        <family val="2"/>
        <charset val="1"/>
      </rPr>
      <t>Pflichtbeiträge</t>
    </r>
  </si>
  <si>
    <t xml:space="preserve">Arbeitstage im Monat </t>
  </si>
  <si>
    <t>Anzahl Arbeitstage mit mind. 12stündiger Abwesenheit</t>
  </si>
  <si>
    <t>Entfernung Wohnung-Arbeitsplatz</t>
  </si>
  <si>
    <r>
      <rPr>
        <sz val="10"/>
        <rFont val="Arial"/>
        <family val="2"/>
      </rPr>
      <t xml:space="preserve">Absetzung private </t>
    </r>
    <r>
      <rPr>
        <b/>
        <sz val="11"/>
        <color rgb="FF000000"/>
        <rFont val="Arial"/>
        <family val="2"/>
        <charset val="1"/>
      </rPr>
      <t>Pflicht</t>
    </r>
    <r>
      <rPr>
        <sz val="10"/>
        <rFont val="Arial"/>
        <family val="2"/>
      </rPr>
      <t xml:space="preserve">versicherungen
</t>
    </r>
    <r>
      <rPr>
        <b/>
        <sz val="11"/>
        <color rgb="FF000000"/>
        <rFont val="Arial"/>
        <family val="2"/>
        <charset val="1"/>
      </rPr>
      <t>hier bitte die Jahresbeiträge angeben</t>
    </r>
  </si>
  <si>
    <r>
      <rPr>
        <sz val="10"/>
        <rFont val="Arial"/>
        <family val="2"/>
      </rPr>
      <t xml:space="preserve">Absetzung sonstige Versicherungen
</t>
    </r>
    <r>
      <rPr>
        <b/>
        <sz val="11"/>
        <color rgb="FF000000"/>
        <rFont val="Arial"/>
        <family val="2"/>
        <charset val="1"/>
      </rPr>
      <t>hier bitte die im Berechnungsmonat tatsächlich gezahlten Beiträge angeben</t>
    </r>
  </si>
  <si>
    <t>Absetzung Beiträge (Gewerkschaft)</t>
  </si>
  <si>
    <t>Absetzung (titulierte Unterhaltsverpflichtung)</t>
  </si>
  <si>
    <t>Absetzung (Arbeitsmittel)</t>
  </si>
  <si>
    <t>Absetzung Sonstige Werbungskosten (keine Pauschale)</t>
  </si>
  <si>
    <t>Wurde ein Riestervertrag abgeschlossen?</t>
  </si>
  <si>
    <t>Zusatzbeitrag Krankenversicherung</t>
  </si>
  <si>
    <t>Privilegiertes Einkommen ( Übungsleiter)</t>
  </si>
  <si>
    <t>Arbeitslosengeld I</t>
  </si>
  <si>
    <t>Krankengeld</t>
  </si>
  <si>
    <t>Wohngeld/Mischhaushalt</t>
  </si>
  <si>
    <t>BAföG/BAB für Mitglied der Bedarfsgemeinschaft</t>
  </si>
  <si>
    <t xml:space="preserve">Sonstiges Einkommen </t>
  </si>
  <si>
    <t>Vermietung / Mieteinnahmen</t>
  </si>
  <si>
    <t>Sonstiges Einkommen (Kinderzuschlag,
Betreuungsgeld für Kinder bis 3 Jahre, etc.)</t>
  </si>
  <si>
    <t>durchschnittl. mtl. Einkommen letzte 12 Monate 
(s. Elterngeldbescheid)</t>
  </si>
  <si>
    <t>Freibetrag auf das Elterngeld</t>
  </si>
  <si>
    <t>Überhang Kindergeld</t>
  </si>
  <si>
    <t>Gesamt Brutto Einkommen</t>
  </si>
  <si>
    <t>Gesamt Netto Einkommen</t>
  </si>
  <si>
    <t>Summe sonstiges Einkommen ohne KG Überhang</t>
  </si>
  <si>
    <t>Grundfreibetrag Erwerbseinkommen</t>
  </si>
  <si>
    <t>Grundfreibetrag Ehrenamt/Übungsleiter</t>
  </si>
  <si>
    <t xml:space="preserve">Grundfreibetrag (GFB) </t>
  </si>
  <si>
    <t>In 86 zu berücksichtigendes Einkommen</t>
  </si>
  <si>
    <t>Berechnung des Freibetrags § 11b Abs. 3 Nr. 1 SGB II</t>
  </si>
  <si>
    <t>Abfrage ob € 1500 Maximaleinkommen wegen Kind bei Freibetragsberechnung berücksichtigt wird</t>
  </si>
  <si>
    <t>Berechnung des Freibetrags § 11b Abs. 3 Nr. 2 SGB II</t>
  </si>
  <si>
    <t>Einkommenbereinigung § 11b Abs. 1 Nr. 1 &amp; 2 SGB II</t>
  </si>
  <si>
    <t>Pflichtversicherung § 11b Abs. 1 Nr. 3 SGB II / Monat</t>
  </si>
  <si>
    <t xml:space="preserve">Sonst. Versicherung § 11b Abs. 1 Nr. 3 SGB II </t>
  </si>
  <si>
    <t>Riesterrente § 11b Abs. 1 Nr. 4 SGB II</t>
  </si>
  <si>
    <t>Bereinigung § 11b Abs. 1 Nr. 5 SGB II</t>
  </si>
  <si>
    <t>Gezahlter Unterhalt § 11b Abs. 1 Nr. 7 SGB II</t>
  </si>
  <si>
    <t>Bereinigung § 11b Abs. 1 Nr. 8 SGB II</t>
  </si>
  <si>
    <t>Summe § 11b Abs. 1 SGB II komplett</t>
  </si>
  <si>
    <t>Summe § 11b Abs. 1 Nr. 3-5 SGB II</t>
  </si>
  <si>
    <t>Dto, aber ohne Pflichtversicherungen</t>
  </si>
  <si>
    <t>Ungedeckte Steuern, Pflichtversicherungen, Unterhalt</t>
  </si>
  <si>
    <t>Gesamtbereinigung § 11b Abs. 1 SGB II</t>
  </si>
  <si>
    <t>Absetzungen + Freibeträge gem. § 11b SGB II</t>
  </si>
  <si>
    <t>Anzurechnende Gesamteinkünfte</t>
  </si>
  <si>
    <t>Anzurechnendes Einkommen - Bedarf</t>
  </si>
  <si>
    <t>Freibetrag nach § 11b Abs. 3 SGB II, der bei 
vorläufigem Bescheid u.U. unberücksichtigt bleibt</t>
  </si>
  <si>
    <t xml:space="preserve">anzurechnende Gesamteinkünfte </t>
  </si>
  <si>
    <t>Aktuelle Version überarbeitet und an gesetzliche Neuerungen angepasst von Koelsch vom ALG-Ratgeber.de</t>
  </si>
  <si>
    <t/>
  </si>
  <si>
    <t>siehe Liste</t>
  </si>
  <si>
    <t>Taschengeld aus Freiwilligendiensten</t>
  </si>
  <si>
    <t>Arbeitstage im Monat (bei erwerbsfähigen LB)</t>
  </si>
  <si>
    <t>Mietstufe</t>
  </si>
  <si>
    <t>Zurück</t>
  </si>
  <si>
    <t>Weitere Eingaben erforderlich</t>
  </si>
  <si>
    <t>Möglicher Anspruch auf Zuschuss zur                       Krankenversicherung in Höhe von</t>
  </si>
  <si>
    <t>Für die Wohngeldberechnung</t>
  </si>
  <si>
    <t>Möglicher Anspruch auf Arbeitslosengeld II                       in Höhe von</t>
  </si>
  <si>
    <r>
      <rPr>
        <sz val="10"/>
        <rFont val="Arial"/>
        <family val="2"/>
      </rPr>
      <t xml:space="preserve">Warmwasser durch Boiler oder Gasflasche -  </t>
    </r>
    <r>
      <rPr>
        <b/>
        <sz val="10"/>
        <color rgb="FFFF0000"/>
        <rFont val="Arial"/>
        <family val="2"/>
        <charset val="1"/>
      </rPr>
      <t>Pauschale</t>
    </r>
  </si>
  <si>
    <t>Weitere Angaben gemacht?</t>
  </si>
  <si>
    <r>
      <t>Unterhaltsvorschuss</t>
    </r>
    <r>
      <rPr>
        <sz val="10"/>
        <color rgb="FFFF0000"/>
        <rFont val="Arial"/>
        <family val="2"/>
      </rPr>
      <t xml:space="preserve"> (ggf korrigieren)</t>
    </r>
  </si>
  <si>
    <r>
      <rPr>
        <sz val="28"/>
        <color rgb="FFFF0000"/>
        <rFont val="Arial"/>
        <family val="2"/>
      </rPr>
      <t>Wichtig!</t>
    </r>
    <r>
      <rPr>
        <sz val="10"/>
        <rFont val="Arial"/>
        <family val="2"/>
      </rPr>
      <t xml:space="preserve"> </t>
    </r>
    <r>
      <rPr>
        <sz val="14"/>
        <rFont val="Arial"/>
        <family val="2"/>
      </rPr>
      <t>- Erläuterungen zur Benutzung des Rechners</t>
    </r>
  </si>
  <si>
    <t>Bitte den Rechner nach dem Download zunächst einmal speichern.</t>
  </si>
  <si>
    <r>
      <t xml:space="preserve">Dann, bevor mit der "Arbeit" mit dem Rechner begonnen wird, den Rechner bitte erneut
</t>
    </r>
    <r>
      <rPr>
        <b/>
        <sz val="14"/>
        <rFont val="Arial"/>
        <family val="2"/>
      </rPr>
      <t>unter einem anderen Namen</t>
    </r>
    <r>
      <rPr>
        <sz val="10"/>
        <rFont val="Arial"/>
        <family val="2"/>
      </rPr>
      <t xml:space="preserve"> speichern. Dies ist sehr wichtig, da bei der
Arbeit mit dem Rechner manchmal Formeln überschrieben werden. Dies ist für ein
korrektes Rechenergebnis wichtig, aber wenn etwas überschrieben wurde, dann ist es
nun mal weg. Das heißt, wenn man mit diesem Rechner dann eine neue Rechnung
machen möchte, dann könnte das zu falschen Ergebnissen führen. Daher</t>
    </r>
  </si>
  <si>
    <t>Für jede neue Rechnung, die unter Pkt. 2 gespeicherte Version erneut öffnen und wie
in Pkt. 3 beschrieben unter einem neuen Namen speichern.</t>
  </si>
  <si>
    <t>Und zum Schluss noch eine Bitte. Sollte es doch noch zu Fehlfunktionen kommen,
bitte meldet die, am Besten gleich die Datei mit dem Fehler beifügen. Nur so können
wir den Rechner weiter verbessern.</t>
  </si>
  <si>
    <t>Und jetzt viel Erfolg mit dem Rechner</t>
  </si>
  <si>
    <r>
      <t xml:space="preserve">Der Rechner funktioniert </t>
    </r>
    <r>
      <rPr>
        <b/>
        <u/>
        <sz val="10"/>
        <rFont val="Arial"/>
        <family val="2"/>
      </rPr>
      <t>nur</t>
    </r>
    <r>
      <rPr>
        <sz val="10"/>
        <rFont val="Arial"/>
        <family val="2"/>
      </rPr>
      <t xml:space="preserve"> mit Excel-Versionen jünger als 2003, also Versionen, 
die das Format .xlsx beherrschen. Bitte nicht versuchen, den Rechner in eine alte
.xls Datei umzuwandeln, das wird nicht funktionieren.
Falls keine Excel-Version verfügbar ist, die das .xlsx Format verarbeiten kann, muss
ggf. das kostenlose LibreOffice installiert werden und mit der .ods Version gearbeitet werden. 
Die Bedienung von LibreOffice ist sehr ähnlich der Bedienung älterer Excel-Versionen.</t>
    </r>
  </si>
  <si>
    <t>Beiträge zur geförderten Altersvorsorge (Riester-Rente)</t>
  </si>
  <si>
    <t>Minderungen/Kürzungen</t>
  </si>
  <si>
    <t>Kürzung Regelbedarf, z.B. wegen temporärer BG</t>
  </si>
  <si>
    <t>Kürzung Anspruch, z.B. wegen Versagung nach § 5 (3)</t>
  </si>
  <si>
    <t>monatliches Brutto</t>
  </si>
  <si>
    <r>
      <t xml:space="preserve">                                   </t>
    </r>
    <r>
      <rPr>
        <b/>
        <u/>
        <sz val="26"/>
        <color rgb="FFFF0000"/>
        <rFont val="Arial"/>
        <family val="2"/>
        <charset val="1"/>
      </rPr>
      <t xml:space="preserve"> Wichtiger Hinweis:
</t>
    </r>
    <r>
      <rPr>
        <sz val="14"/>
        <color rgb="FFFF0000"/>
        <rFont val="Arial"/>
        <family val="2"/>
        <charset val="1"/>
      </rPr>
      <t>Bitte</t>
    </r>
    <r>
      <rPr>
        <sz val="26"/>
        <color rgb="FFFF0000"/>
        <rFont val="Arial"/>
        <family val="2"/>
        <charset val="1"/>
      </rPr>
      <t xml:space="preserve"> </t>
    </r>
    <r>
      <rPr>
        <sz val="14"/>
        <color rgb="FFFF0000"/>
        <rFont val="Arial"/>
        <family val="2"/>
        <charset val="1"/>
      </rPr>
      <t xml:space="preserve">die .xlsx Version des Rechners nur mit Microsoft Excel nutzen, bei Nutzung mit z.B. LibreOffice kommt
es zu einer Fehlfunktion. 
</t>
    </r>
  </si>
  <si>
    <t>Kindergeld (Mittelwert für alle Kinder in der BG)</t>
  </si>
  <si>
    <t>Kindergeld volle Beträge</t>
  </si>
  <si>
    <t>Absetzung gezahlte Einkommensteuer</t>
  </si>
  <si>
    <t>Berechnungsmonat</t>
  </si>
  <si>
    <t>oder Mietstufe  direkt eingeben</t>
  </si>
  <si>
    <t>Gesamtbedarf (nur Regelbedarf)</t>
  </si>
  <si>
    <t>Verlängerungsoption Elterngeld genutzt?</t>
  </si>
  <si>
    <t>Bitte den Beginn des zu berechnenden Bewilligungszeitraums eingeben, z.B. 1.1.2017</t>
  </si>
  <si>
    <r>
      <t xml:space="preserve">Anzahl Personen, die im Haushalt wohnen, </t>
    </r>
    <r>
      <rPr>
        <b/>
        <u/>
        <sz val="11"/>
        <color rgb="FFFF0000"/>
        <rFont val="Arial"/>
        <family val="2"/>
      </rPr>
      <t>aber nicht zur BG gehören</t>
    </r>
    <r>
      <rPr>
        <sz val="10"/>
        <rFont val="Arial"/>
      </rPr>
      <t>, z.B. Großeltern, Kinder älter 25, Untermieter</t>
    </r>
  </si>
  <si>
    <t>Altersrente,  wenn diese bezogen wird</t>
  </si>
  <si>
    <r>
      <t>Eintragungen nur, wenn nicht bereits in Zeile 64 enthalten</t>
    </r>
    <r>
      <rPr>
        <b/>
        <sz val="10"/>
        <color rgb="FFFF0000"/>
        <rFont val="Calibri"/>
        <family val="2"/>
      </rPr>
      <t>↓↓</t>
    </r>
  </si>
  <si>
    <t>Ja</t>
  </si>
  <si>
    <r>
      <t xml:space="preserve">Version 3.0.5.7a
</t>
    </r>
    <r>
      <rPr>
        <sz val="10"/>
        <color rgb="FF008000"/>
        <rFont val="Calibri"/>
        <family val="2"/>
      </rPr>
      <t>28.10</t>
    </r>
    <r>
      <rPr>
        <sz val="10"/>
        <color rgb="FF008000"/>
        <rFont val="Calibri"/>
        <family val="2"/>
        <charset val="1"/>
      </rPr>
      <t>.2018</t>
    </r>
  </si>
</sst>
</file>

<file path=xl/styles.xml><?xml version="1.0" encoding="utf-8"?>
<styleSheet xmlns="http://schemas.openxmlformats.org/spreadsheetml/2006/main">
  <numFmts count="26">
    <numFmt numFmtId="7" formatCode="#,##0.00\ &quot;€&quot;;\-#,##0.00\ &quot;€&quot;"/>
    <numFmt numFmtId="8" formatCode="#,##0.00\ &quot;€&quot;;[Red]\-#,##0.00\ &quot;€&quot;"/>
    <numFmt numFmtId="44" formatCode="_-* #,##0.00\ &quot;€&quot;_-;\-* #,##0.00\ &quot;€&quot;_-;_-* &quot;-&quot;??\ &quot;€&quot;_-;_-@_-"/>
    <numFmt numFmtId="164" formatCode="#,##0.00\ &quot;€&quot;"/>
    <numFmt numFmtId="165" formatCode="#,##0\ &quot;km&quot;"/>
    <numFmt numFmtId="166" formatCode="* #,##0.00\ [$€-407]\ ;\-* #,##0.00\ [$€-407]\ ;* \-#\ [$€-407]\ ;@\ "/>
    <numFmt numFmtId="167" formatCode="0.0%"/>
    <numFmt numFmtId="168" formatCode="#,##0\ &quot;m²&quot;"/>
    <numFmt numFmtId="169" formatCode="0.0000000000"/>
    <numFmt numFmtId="170" formatCode="0.0000000000_ ;[Red]\-0.0000000000\ "/>
    <numFmt numFmtId="171" formatCode="#,##0\ &quot;€&quot;"/>
    <numFmt numFmtId="172" formatCode="mmm\ yyyy"/>
    <numFmt numFmtId="173" formatCode="_(&quot;€&quot;* #,##0.00_);_(&quot;€&quot;* \(#,##0.00\);_(&quot;€&quot;* &quot;-&quot;??_);_(@_)"/>
    <numFmt numFmtId="174" formatCode="#,##0.00\ [$€-401]"/>
    <numFmt numFmtId="175" formatCode="#,##0;\-#,##0\ [$€]"/>
    <numFmt numFmtId="176" formatCode="* #,##0.00&quot; € &quot;;\-* #,##0.00&quot; € &quot;;* \-#&quot; € &quot;;@\ "/>
    <numFmt numFmtId="177" formatCode="dd/mm/yy;@"/>
    <numFmt numFmtId="178" formatCode="#,##0.00;\-#,##0.00\ [$€]"/>
    <numFmt numFmtId="179" formatCode="d/m/yy;@"/>
    <numFmt numFmtId="180" formatCode="#,##0_ ;\-#,##0\ "/>
    <numFmt numFmtId="181" formatCode="#,##0.0&quot; km&quot;"/>
    <numFmt numFmtId="182" formatCode="#,##0.00_ ;\-#,##0.00\ "/>
    <numFmt numFmtId="183" formatCode="0\ %"/>
    <numFmt numFmtId="184" formatCode="0.00\ [$€-401]"/>
    <numFmt numFmtId="185" formatCode="#,##0.0&quot; m²&quot;"/>
    <numFmt numFmtId="186" formatCode="[$-407]mmmm\ yy;@"/>
  </numFmts>
  <fonts count="186">
    <font>
      <sz val="10"/>
      <name val="Arial"/>
    </font>
    <font>
      <sz val="10"/>
      <name val="Arial"/>
      <family val="2"/>
    </font>
    <font>
      <sz val="8"/>
      <name val="Arial"/>
      <family val="2"/>
    </font>
    <font>
      <sz val="9"/>
      <color indexed="81"/>
      <name val="Tahoma"/>
      <family val="2"/>
    </font>
    <font>
      <b/>
      <sz val="9"/>
      <color indexed="81"/>
      <name val="Tahoma"/>
      <family val="2"/>
    </font>
    <font>
      <b/>
      <sz val="14"/>
      <name val="Arial Narrow"/>
      <family val="2"/>
    </font>
    <font>
      <b/>
      <sz val="12"/>
      <name val="Arial Narrow"/>
      <family val="2"/>
    </font>
    <font>
      <sz val="11.5"/>
      <color indexed="9"/>
      <name val="Arial Narrow"/>
      <family val="2"/>
    </font>
    <font>
      <b/>
      <sz val="11.5"/>
      <color indexed="9"/>
      <name val="Arial Narrow"/>
      <family val="2"/>
    </font>
    <font>
      <sz val="11.5"/>
      <name val="Arial Narrow"/>
      <family val="2"/>
    </font>
    <font>
      <b/>
      <sz val="11.5"/>
      <name val="Arial Narrow"/>
      <family val="2"/>
    </font>
    <font>
      <u/>
      <sz val="11.5"/>
      <name val="Arial Narrow"/>
      <family val="2"/>
    </font>
    <font>
      <b/>
      <u/>
      <sz val="11.5"/>
      <name val="Arial Narrow"/>
      <family val="2"/>
    </font>
    <font>
      <b/>
      <sz val="16"/>
      <color indexed="9"/>
      <name val="Arial Narrow"/>
      <family val="2"/>
    </font>
    <font>
      <b/>
      <u/>
      <sz val="12"/>
      <name val="Arial Narrow"/>
      <family val="2"/>
    </font>
    <font>
      <b/>
      <sz val="13"/>
      <name val="Arial Narrow"/>
      <family val="2"/>
    </font>
    <font>
      <sz val="10"/>
      <name val="Arial Narrow"/>
      <family val="2"/>
    </font>
    <font>
      <sz val="12"/>
      <name val="Arial Narrow"/>
      <family val="2"/>
    </font>
    <font>
      <sz val="11"/>
      <name val="Arial"/>
      <family val="2"/>
    </font>
    <font>
      <sz val="1"/>
      <color indexed="9"/>
      <name val="Arial Narrow"/>
      <family val="2"/>
    </font>
    <font>
      <b/>
      <u/>
      <sz val="14"/>
      <name val="Arial"/>
      <family val="2"/>
    </font>
    <font>
      <b/>
      <sz val="10"/>
      <name val="Arial"/>
      <family val="2"/>
    </font>
    <font>
      <sz val="10"/>
      <name val="Arial"/>
      <family val="2"/>
    </font>
    <font>
      <b/>
      <sz val="18"/>
      <color indexed="9"/>
      <name val="Arial Narrow"/>
      <family val="2"/>
    </font>
    <font>
      <b/>
      <sz val="11"/>
      <name val="Arial"/>
      <family val="2"/>
    </font>
    <font>
      <u/>
      <sz val="12"/>
      <name val="Arial Narrow"/>
      <family val="2"/>
    </font>
    <font>
      <sz val="12"/>
      <name val="Arial"/>
      <family val="2"/>
    </font>
    <font>
      <i/>
      <sz val="12"/>
      <name val="Arial Narrow"/>
      <family val="2"/>
    </font>
    <font>
      <i/>
      <sz val="10"/>
      <name val="Arial Narrow"/>
      <family val="2"/>
    </font>
    <font>
      <sz val="12"/>
      <color indexed="9"/>
      <name val="Arial Narrow"/>
      <family val="2"/>
    </font>
    <font>
      <b/>
      <i/>
      <sz val="14"/>
      <name val="Arial Narrow"/>
      <family val="2"/>
    </font>
    <font>
      <b/>
      <i/>
      <sz val="14"/>
      <name val="Arial"/>
      <family val="2"/>
    </font>
    <font>
      <sz val="9"/>
      <name val="Verdana"/>
      <family val="2"/>
    </font>
    <font>
      <b/>
      <u/>
      <sz val="13"/>
      <name val="Arial Narrow"/>
      <family val="2"/>
    </font>
    <font>
      <sz val="14"/>
      <name val="Arial Narrow"/>
      <family val="2"/>
    </font>
    <font>
      <b/>
      <sz val="20"/>
      <color indexed="9"/>
      <name val="Arial Narrow"/>
      <family val="2"/>
    </font>
    <font>
      <b/>
      <sz val="11"/>
      <color indexed="81"/>
      <name val="Tahoma"/>
      <family val="2"/>
    </font>
    <font>
      <sz val="11"/>
      <name val="Arial Narrow"/>
      <family val="2"/>
    </font>
    <font>
      <b/>
      <sz val="9"/>
      <name val="Verdana"/>
      <family val="2"/>
    </font>
    <font>
      <i/>
      <sz val="9"/>
      <name val="Arial Narrow"/>
      <family val="2"/>
    </font>
    <font>
      <sz val="10"/>
      <name val="Verdana"/>
      <family val="2"/>
    </font>
    <font>
      <sz val="8"/>
      <name val="Arial Narrow"/>
      <family val="2"/>
    </font>
    <font>
      <sz val="11"/>
      <color indexed="9"/>
      <name val="Arial Narrow"/>
      <family val="2"/>
    </font>
    <font>
      <sz val="12"/>
      <color indexed="22"/>
      <name val="Arial Narrow"/>
      <family val="2"/>
    </font>
    <font>
      <b/>
      <sz val="14"/>
      <color indexed="9"/>
      <name val="Arial Narrow"/>
      <family val="2"/>
    </font>
    <font>
      <sz val="14"/>
      <color indexed="9"/>
      <name val="Arial Narrow"/>
      <family val="2"/>
    </font>
    <font>
      <sz val="10"/>
      <color indexed="9"/>
      <name val="Arial Narrow"/>
      <family val="2"/>
    </font>
    <font>
      <b/>
      <sz val="11"/>
      <name val="Arial Narrow"/>
      <family val="2"/>
    </font>
    <font>
      <b/>
      <sz val="10"/>
      <name val="Arial Narrow"/>
      <family val="2"/>
    </font>
    <font>
      <sz val="11"/>
      <color indexed="8"/>
      <name val="Calibri"/>
      <family val="2"/>
    </font>
    <font>
      <b/>
      <sz val="10"/>
      <color indexed="8"/>
      <name val="Arial"/>
      <family val="2"/>
    </font>
    <font>
      <sz val="9"/>
      <name val="Arial"/>
      <family val="2"/>
    </font>
    <font>
      <b/>
      <sz val="11"/>
      <color indexed="8"/>
      <name val="Arial"/>
      <family val="2"/>
    </font>
    <font>
      <u/>
      <sz val="10"/>
      <color theme="10"/>
      <name val="Arial"/>
      <family val="2"/>
    </font>
    <font>
      <u/>
      <sz val="8"/>
      <color theme="10"/>
      <name val="Arial"/>
      <family val="2"/>
    </font>
    <font>
      <sz val="12"/>
      <color theme="0"/>
      <name val="Arial"/>
      <family val="2"/>
    </font>
    <font>
      <sz val="11.5"/>
      <color theme="0"/>
      <name val="Arial Narrow"/>
      <family val="2"/>
    </font>
    <font>
      <i/>
      <sz val="10"/>
      <color theme="0"/>
      <name val="Arial Narrow"/>
      <family val="2"/>
    </font>
    <font>
      <b/>
      <sz val="11.5"/>
      <color theme="0"/>
      <name val="Arial Narrow"/>
      <family val="2"/>
    </font>
    <font>
      <sz val="9"/>
      <name val="Arial Narrow"/>
      <family val="2"/>
    </font>
    <font>
      <sz val="8.5"/>
      <name val="Arial Narrow"/>
      <family val="2"/>
    </font>
    <font>
      <b/>
      <u/>
      <sz val="12"/>
      <color rgb="FFFF0000"/>
      <name val="Arial Narrow"/>
      <family val="2"/>
    </font>
    <font>
      <sz val="12"/>
      <color theme="0"/>
      <name val="Arial Narrow"/>
      <family val="2"/>
    </font>
    <font>
      <i/>
      <sz val="11"/>
      <name val="Arial Narrow"/>
      <family val="2"/>
    </font>
    <font>
      <i/>
      <sz val="10"/>
      <color theme="0"/>
      <name val="Arial"/>
      <family val="2"/>
    </font>
    <font>
      <sz val="14"/>
      <name val="Arial"/>
      <family val="2"/>
    </font>
    <font>
      <i/>
      <sz val="10"/>
      <color rgb="FF2B2B2B"/>
      <name val="Inherit"/>
    </font>
    <font>
      <b/>
      <sz val="16"/>
      <name val="Arial Narrow"/>
      <family val="2"/>
    </font>
    <font>
      <b/>
      <i/>
      <sz val="11.5"/>
      <color rgb="FFFF0000"/>
      <name val="Arial Narrow"/>
      <family val="2"/>
    </font>
    <font>
      <b/>
      <sz val="11.5"/>
      <color rgb="FFFF0000"/>
      <name val="Arial Narrow"/>
      <family val="2"/>
    </font>
    <font>
      <b/>
      <sz val="12"/>
      <name val="Arial"/>
      <family val="2"/>
    </font>
    <font>
      <b/>
      <sz val="20"/>
      <color theme="0"/>
      <name val="Arial Narrow"/>
      <family val="2"/>
    </font>
    <font>
      <sz val="20"/>
      <name val="Arial"/>
      <family val="2"/>
    </font>
    <font>
      <sz val="13"/>
      <name val="Arial Narrow"/>
      <family val="2"/>
    </font>
    <font>
      <b/>
      <sz val="12"/>
      <color rgb="FFFF0000"/>
      <name val="Arial Narrow"/>
      <family val="2"/>
    </font>
    <font>
      <b/>
      <sz val="12"/>
      <color theme="0"/>
      <name val="Arial Narrow"/>
      <family val="2"/>
    </font>
    <font>
      <sz val="10"/>
      <color theme="0"/>
      <name val="Arial Narrow"/>
      <family val="2"/>
    </font>
    <font>
      <b/>
      <i/>
      <sz val="10"/>
      <color theme="0"/>
      <name val="Arial Narrow"/>
      <family val="2"/>
    </font>
    <font>
      <i/>
      <sz val="10"/>
      <name val="Arial"/>
      <family val="2"/>
    </font>
    <font>
      <b/>
      <i/>
      <sz val="10"/>
      <color rgb="FFFF0000"/>
      <name val="Arial Narrow"/>
      <family val="2"/>
    </font>
    <font>
      <sz val="10"/>
      <color theme="0"/>
      <name val="Arial"/>
      <family val="2"/>
    </font>
    <font>
      <u/>
      <sz val="9"/>
      <color theme="10"/>
      <name val="Arial"/>
      <family val="2"/>
    </font>
    <font>
      <sz val="12"/>
      <color theme="0" tint="-0.249977111117893"/>
      <name val="Arial Narrow"/>
      <family val="2"/>
    </font>
    <font>
      <b/>
      <sz val="18"/>
      <color rgb="FF92D050"/>
      <name val="Arial Narrow"/>
      <family val="2"/>
    </font>
    <font>
      <sz val="10"/>
      <name val="Arial"/>
      <family val="2"/>
    </font>
    <font>
      <b/>
      <i/>
      <sz val="12"/>
      <color rgb="FF0070C0"/>
      <name val="Arial Narrow"/>
      <family val="2"/>
    </font>
    <font>
      <b/>
      <i/>
      <sz val="10"/>
      <color rgb="FF0070C0"/>
      <name val="Arial"/>
      <family val="2"/>
    </font>
    <font>
      <b/>
      <i/>
      <sz val="11"/>
      <color rgb="FF0070C0"/>
      <name val="Arial Narrow"/>
      <family val="2"/>
    </font>
    <font>
      <i/>
      <sz val="10"/>
      <color rgb="FF000000"/>
      <name val="Arial"/>
      <family val="2"/>
    </font>
    <font>
      <i/>
      <sz val="8"/>
      <name val="Arial"/>
      <family val="2"/>
    </font>
    <font>
      <b/>
      <sz val="11"/>
      <color rgb="FF0070C0"/>
      <name val="Arial Narrow"/>
      <family val="2"/>
    </font>
    <font>
      <sz val="11"/>
      <color theme="0"/>
      <name val="Arial Narrow"/>
      <family val="2"/>
    </font>
    <font>
      <b/>
      <sz val="14.5"/>
      <name val="Arial Narrow"/>
      <family val="2"/>
    </font>
    <font>
      <i/>
      <sz val="11.5"/>
      <color theme="0"/>
      <name val="Arial Narrow"/>
      <family val="2"/>
    </font>
    <font>
      <b/>
      <sz val="15"/>
      <name val="Arial Narrow"/>
      <family val="2"/>
    </font>
    <font>
      <b/>
      <sz val="16"/>
      <name val="Arial"/>
      <family val="2"/>
    </font>
    <font>
      <b/>
      <u/>
      <sz val="14"/>
      <color theme="10"/>
      <name val="Arial Narrow"/>
      <family val="2"/>
    </font>
    <font>
      <b/>
      <sz val="9"/>
      <name val="Arial Narrow"/>
      <family val="2"/>
    </font>
    <font>
      <b/>
      <u/>
      <sz val="9"/>
      <name val="Arial Narrow"/>
      <family val="2"/>
    </font>
    <font>
      <b/>
      <i/>
      <sz val="10"/>
      <color rgb="FF0070C0"/>
      <name val="Arial Narrow"/>
      <family val="2"/>
    </font>
    <font>
      <b/>
      <i/>
      <sz val="10"/>
      <name val="Arial Narrow"/>
      <family val="2"/>
    </font>
    <font>
      <sz val="4"/>
      <name val="Arial Narrow"/>
      <family val="2"/>
    </font>
    <font>
      <b/>
      <sz val="16"/>
      <color theme="0"/>
      <name val="Arial Narrow"/>
      <family val="2"/>
    </font>
    <font>
      <sz val="16"/>
      <color theme="0"/>
      <name val="Arial Narrow"/>
      <family val="2"/>
    </font>
    <font>
      <b/>
      <sz val="12"/>
      <color rgb="FF0070C0"/>
      <name val="Arial Narrow"/>
      <family val="2"/>
    </font>
    <font>
      <sz val="12"/>
      <color rgb="FF0070C0"/>
      <name val="Arial Narrow"/>
      <family val="2"/>
    </font>
    <font>
      <b/>
      <i/>
      <sz val="12"/>
      <color rgb="FFFF0000"/>
      <name val="Arial Narrow"/>
      <family val="2"/>
    </font>
    <font>
      <b/>
      <i/>
      <u/>
      <sz val="12"/>
      <name val="Arial Narrow"/>
      <family val="2"/>
    </font>
    <font>
      <b/>
      <i/>
      <sz val="9.5"/>
      <color rgb="FFFF0000"/>
      <name val="Arial"/>
      <family val="2"/>
    </font>
    <font>
      <sz val="13"/>
      <color indexed="9"/>
      <name val="Arial Narrow"/>
      <family val="2"/>
    </font>
    <font>
      <sz val="13"/>
      <color theme="0" tint="-0.14999847407452621"/>
      <name val="Arial Narrow"/>
      <family val="2"/>
    </font>
    <font>
      <i/>
      <sz val="13"/>
      <name val="Arial Narrow"/>
      <family val="2"/>
    </font>
    <font>
      <b/>
      <sz val="13"/>
      <color rgb="FFFF0000"/>
      <name val="Arial Narrow"/>
      <family val="2"/>
    </font>
    <font>
      <sz val="10"/>
      <name val="Arial"/>
      <family val="2"/>
    </font>
    <font>
      <i/>
      <sz val="11"/>
      <color rgb="FF7F7F7F"/>
      <name val="Calibri"/>
      <family val="2"/>
      <scheme val="minor"/>
    </font>
    <font>
      <b/>
      <sz val="26"/>
      <color rgb="FFFF0000"/>
      <name val="Arial"/>
      <family val="2"/>
      <charset val="1"/>
    </font>
    <font>
      <b/>
      <u/>
      <sz val="18"/>
      <color rgb="FF000000"/>
      <name val="Arial"/>
      <family val="2"/>
      <charset val="1"/>
    </font>
    <font>
      <b/>
      <sz val="10"/>
      <color rgb="FFFF0000"/>
      <name val="Arial"/>
      <family val="2"/>
      <charset val="1"/>
    </font>
    <font>
      <b/>
      <sz val="12"/>
      <color rgb="FF008000"/>
      <name val="Calibri"/>
      <family val="2"/>
      <charset val="1"/>
    </font>
    <font>
      <sz val="10"/>
      <color rgb="FF008000"/>
      <name val="Calibri"/>
      <family val="2"/>
      <charset val="1"/>
    </font>
    <font>
      <sz val="9"/>
      <color rgb="FF000000"/>
      <name val="Arial"/>
      <family val="2"/>
      <charset val="1"/>
    </font>
    <font>
      <sz val="10"/>
      <color rgb="FFFFFFFF"/>
      <name val="Arial"/>
      <family val="2"/>
      <charset val="1"/>
    </font>
    <font>
      <b/>
      <sz val="10"/>
      <color rgb="FF000000"/>
      <name val="Arial"/>
      <family val="2"/>
      <charset val="1"/>
    </font>
    <font>
      <b/>
      <sz val="10"/>
      <name val="Arial"/>
      <family val="2"/>
      <charset val="1"/>
    </font>
    <font>
      <sz val="10"/>
      <color rgb="FFFF0000"/>
      <name val="Arial"/>
      <family val="2"/>
      <charset val="1"/>
    </font>
    <font>
      <b/>
      <sz val="14"/>
      <color rgb="FFFF0000"/>
      <name val="Arial"/>
      <family val="2"/>
      <charset val="1"/>
    </font>
    <font>
      <sz val="10"/>
      <name val="Arial"/>
      <family val="2"/>
      <charset val="1"/>
    </font>
    <font>
      <b/>
      <sz val="18"/>
      <color rgb="FF000000"/>
      <name val="Arial"/>
      <family val="2"/>
      <charset val="1"/>
    </font>
    <font>
      <sz val="16"/>
      <color rgb="FF000000"/>
      <name val="Arial"/>
      <family val="2"/>
      <charset val="1"/>
    </font>
    <font>
      <sz val="11"/>
      <color rgb="FF333333"/>
      <name val="Arial"/>
      <family val="2"/>
      <charset val="1"/>
    </font>
    <font>
      <b/>
      <sz val="10"/>
      <color rgb="FF0000FF"/>
      <name val="Arial"/>
      <family val="2"/>
      <charset val="1"/>
    </font>
    <font>
      <b/>
      <u/>
      <sz val="13"/>
      <color rgb="FFFF0000"/>
      <name val="Arial"/>
      <family val="2"/>
      <charset val="1"/>
    </font>
    <font>
      <b/>
      <sz val="10"/>
      <color rgb="FFFF0000"/>
      <name val="Calibri"/>
      <family val="2"/>
      <charset val="1"/>
    </font>
    <font>
      <b/>
      <sz val="10"/>
      <color rgb="FF999999"/>
      <name val="Arial"/>
      <family val="2"/>
      <charset val="1"/>
    </font>
    <font>
      <sz val="10"/>
      <color rgb="FFC0C0C0"/>
      <name val="Arial"/>
      <family val="2"/>
      <charset val="1"/>
    </font>
    <font>
      <sz val="10"/>
      <color rgb="FF000000"/>
      <name val="Arial"/>
      <family val="2"/>
      <charset val="1"/>
    </font>
    <font>
      <sz val="12"/>
      <name val="Arial Narrow"/>
      <family val="2"/>
      <charset val="1"/>
    </font>
    <font>
      <b/>
      <sz val="12"/>
      <name val="Arial Narrow"/>
      <family val="2"/>
      <charset val="1"/>
    </font>
    <font>
      <sz val="10"/>
      <color rgb="FF008000"/>
      <name val="Arial"/>
      <family val="2"/>
      <charset val="1"/>
    </font>
    <font>
      <sz val="12"/>
      <color rgb="FFFF0000"/>
      <name val="Arial"/>
      <family val="2"/>
      <charset val="1"/>
    </font>
    <font>
      <b/>
      <sz val="12"/>
      <color rgb="FFFF0000"/>
      <name val="Calibri"/>
      <family val="2"/>
    </font>
    <font>
      <b/>
      <sz val="10"/>
      <color rgb="FF000000"/>
      <name val="Arial"/>
      <family val="2"/>
    </font>
    <font>
      <sz val="9"/>
      <color rgb="FF000000"/>
      <name val="Verdana"/>
      <family val="2"/>
      <charset val="1"/>
    </font>
    <font>
      <b/>
      <u/>
      <sz val="26"/>
      <color rgb="FFFF0000"/>
      <name val="Arial"/>
      <family val="2"/>
      <charset val="1"/>
    </font>
    <font>
      <sz val="14"/>
      <color rgb="FFFF0000"/>
      <name val="Arial"/>
      <family val="2"/>
      <charset val="1"/>
    </font>
    <font>
      <sz val="26"/>
      <color rgb="FFFF0000"/>
      <name val="Arial"/>
      <family val="2"/>
      <charset val="1"/>
    </font>
    <font>
      <b/>
      <sz val="12"/>
      <color rgb="FFFF0000"/>
      <name val="Arial"/>
      <family val="2"/>
      <charset val="1"/>
    </font>
    <font>
      <b/>
      <sz val="11"/>
      <color rgb="FF000000"/>
      <name val="Arial"/>
      <family val="2"/>
      <charset val="1"/>
    </font>
    <font>
      <b/>
      <sz val="9"/>
      <color rgb="FF000000"/>
      <name val="Tahoma"/>
      <family val="2"/>
      <charset val="1"/>
    </font>
    <font>
      <sz val="9"/>
      <color rgb="FF000000"/>
      <name val="Tahoma"/>
      <family val="2"/>
      <charset val="1"/>
    </font>
    <font>
      <u/>
      <sz val="14"/>
      <color theme="10"/>
      <name val="Arial"/>
      <family val="2"/>
    </font>
    <font>
      <sz val="12"/>
      <color theme="1"/>
      <name val="Arial Narrow"/>
      <family val="2"/>
    </font>
    <font>
      <sz val="12"/>
      <name val="Arial Narrow"/>
      <family val="2"/>
    </font>
    <font>
      <sz val="10"/>
      <name val="Arial Narrow"/>
      <family val="2"/>
    </font>
    <font>
      <b/>
      <sz val="12"/>
      <name val="Arial Narrow"/>
      <family val="2"/>
    </font>
    <font>
      <sz val="10"/>
      <color rgb="FF000000"/>
      <name val="Arial"/>
      <family val="2"/>
    </font>
    <font>
      <b/>
      <u/>
      <sz val="11"/>
      <color theme="10"/>
      <name val="Arial"/>
      <family val="2"/>
    </font>
    <font>
      <b/>
      <u/>
      <sz val="12"/>
      <color theme="10"/>
      <name val="Arial"/>
      <family val="2"/>
    </font>
    <font>
      <sz val="16"/>
      <name val="Arial"/>
      <family val="2"/>
    </font>
    <font>
      <sz val="16"/>
      <name val="Arial Narrow"/>
      <family val="2"/>
    </font>
    <font>
      <i/>
      <sz val="16"/>
      <color theme="0"/>
      <name val="Arial Narrow"/>
      <family val="2"/>
    </font>
    <font>
      <b/>
      <u/>
      <sz val="16"/>
      <name val="Arial Narrow"/>
      <family val="2"/>
    </font>
    <font>
      <b/>
      <sz val="16"/>
      <color rgb="FF0070C0"/>
      <name val="Arial Narrow"/>
      <family val="2"/>
    </font>
    <font>
      <b/>
      <sz val="20"/>
      <color theme="1"/>
      <name val="Arial Narrow"/>
      <family val="2"/>
    </font>
    <font>
      <b/>
      <sz val="8"/>
      <color rgb="FFFF0000"/>
      <name val="Arial"/>
      <family val="2"/>
      <charset val="1"/>
    </font>
    <font>
      <b/>
      <sz val="10"/>
      <color theme="1"/>
      <name val="Arial"/>
      <family val="2"/>
      <charset val="1"/>
    </font>
    <font>
      <b/>
      <sz val="10"/>
      <color rgb="FFFF0000"/>
      <name val="Arial"/>
      <family val="2"/>
    </font>
    <font>
      <b/>
      <sz val="10"/>
      <color theme="0"/>
      <name val="Arial"/>
      <family val="2"/>
      <charset val="1"/>
    </font>
    <font>
      <i/>
      <sz val="11"/>
      <color rgb="FFFF0000"/>
      <name val="Arial"/>
      <family val="2"/>
    </font>
    <font>
      <b/>
      <u/>
      <sz val="11"/>
      <color rgb="FFFF0000"/>
      <name val="Arial"/>
      <family val="2"/>
    </font>
    <font>
      <sz val="10"/>
      <color rgb="FFFFFF00"/>
      <name val="Arial"/>
      <family val="2"/>
    </font>
    <font>
      <sz val="10"/>
      <color rgb="FFFF0000"/>
      <name val="Arial"/>
      <family val="2"/>
    </font>
    <font>
      <b/>
      <sz val="14"/>
      <color theme="1"/>
      <name val="Arial Narrow"/>
      <family val="2"/>
    </font>
    <font>
      <sz val="10"/>
      <color theme="1"/>
      <name val="Arial"/>
      <family val="2"/>
    </font>
    <font>
      <b/>
      <sz val="12"/>
      <color rgb="FFFF0000"/>
      <name val="Arial"/>
      <family val="2"/>
    </font>
    <font>
      <sz val="11.5"/>
      <color theme="1"/>
      <name val="Arial Narrow"/>
      <family val="2"/>
    </font>
    <font>
      <sz val="28"/>
      <color rgb="FFFF0000"/>
      <name val="Arial"/>
      <family val="2"/>
    </font>
    <font>
      <b/>
      <u/>
      <sz val="10"/>
      <name val="Arial"/>
      <family val="2"/>
    </font>
    <font>
      <b/>
      <sz val="14"/>
      <name val="Arial"/>
      <family val="2"/>
    </font>
    <font>
      <sz val="12"/>
      <color theme="0" tint="-4.9989318521683403E-2"/>
      <name val="Arial Narrow"/>
      <family val="2"/>
    </font>
    <font>
      <sz val="11.5"/>
      <color theme="0" tint="-4.9989318521683403E-2"/>
      <name val="Arial Narrow"/>
      <family val="2"/>
    </font>
    <font>
      <sz val="12"/>
      <color rgb="FFFF0000"/>
      <name val="Arial"/>
      <family val="2"/>
    </font>
    <font>
      <sz val="10"/>
      <color rgb="FF008000"/>
      <name val="Calibri"/>
      <family val="2"/>
    </font>
    <font>
      <b/>
      <sz val="10"/>
      <color rgb="FFFF0000"/>
      <name val="Calibri"/>
      <family val="2"/>
    </font>
    <font>
      <b/>
      <sz val="14"/>
      <color rgb="FFFF0000"/>
      <name val="Calibri"/>
      <family val="2"/>
    </font>
    <font>
      <sz val="10"/>
      <name val="Calibri"/>
      <family val="2"/>
    </font>
  </fonts>
  <fills count="61">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15"/>
        <bgColor indexed="64"/>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14"/>
        <bgColor indexed="64"/>
      </patternFill>
    </fill>
    <fill>
      <patternFill patternType="solid">
        <fgColor theme="0"/>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rgb="FFFFFF00"/>
        <bgColor indexed="64"/>
      </patternFill>
    </fill>
    <fill>
      <patternFill patternType="solid">
        <fgColor theme="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CCFFCC"/>
        <bgColor indexed="64"/>
      </patternFill>
    </fill>
    <fill>
      <patternFill patternType="solid">
        <fgColor rgb="FF99CC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CCFF99"/>
        <bgColor indexed="64"/>
      </patternFill>
    </fill>
    <fill>
      <patternFill patternType="solid">
        <fgColor rgb="FFCCFFFF"/>
        <bgColor indexed="64"/>
      </patternFill>
    </fill>
    <fill>
      <patternFill patternType="solid">
        <fgColor rgb="FFFF99CC"/>
        <bgColor indexed="64"/>
      </patternFill>
    </fill>
    <fill>
      <patternFill patternType="solid">
        <fgColor theme="9" tint="0.79998168889431442"/>
        <bgColor rgb="FFFFC000"/>
      </patternFill>
    </fill>
    <fill>
      <patternFill patternType="solid">
        <fgColor theme="9" tint="0.39997558519241921"/>
        <bgColor rgb="FFFFC000"/>
      </patternFill>
    </fill>
    <fill>
      <patternFill patternType="solid">
        <fgColor theme="4" tint="0.79998168889431442"/>
        <bgColor rgb="FFCCFFCC"/>
      </patternFill>
    </fill>
    <fill>
      <patternFill patternType="solid">
        <fgColor rgb="FFFFFF99"/>
        <bgColor rgb="FFCCFFFF"/>
      </patternFill>
    </fill>
    <fill>
      <patternFill patternType="solid">
        <fgColor rgb="FFCCFFCC"/>
        <bgColor rgb="FFCCFFFF"/>
      </patternFill>
    </fill>
    <fill>
      <patternFill patternType="solid">
        <fgColor rgb="FFCCFFCC"/>
        <bgColor rgb="FFCCFFCC"/>
      </patternFill>
    </fill>
    <fill>
      <patternFill patternType="solid">
        <fgColor theme="4" tint="0.79998168889431442"/>
        <bgColor indexed="64"/>
      </patternFill>
    </fill>
    <fill>
      <patternFill patternType="solid">
        <fgColor theme="6" tint="0.59999389629810485"/>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FFFFCC"/>
        <bgColor rgb="FFFFFFFF"/>
      </patternFill>
    </fill>
    <fill>
      <patternFill patternType="solid">
        <fgColor rgb="FFFFFFFF"/>
        <bgColor rgb="FFFFFFCC"/>
      </patternFill>
    </fill>
    <fill>
      <patternFill patternType="solid">
        <fgColor rgb="FFFFFF99"/>
        <bgColor rgb="FFFFFFCC"/>
      </patternFill>
    </fill>
    <fill>
      <patternFill patternType="solid">
        <fgColor rgb="FF969696"/>
        <bgColor rgb="FF999999"/>
      </patternFill>
    </fill>
    <fill>
      <patternFill patternType="solid">
        <fgColor rgb="FFFFFF00"/>
        <bgColor rgb="FFFFFF00"/>
      </patternFill>
    </fill>
    <fill>
      <patternFill patternType="solid">
        <fgColor theme="0"/>
        <bgColor indexed="3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rgb="FFFFFFCC"/>
      </patternFill>
    </fill>
    <fill>
      <patternFill patternType="solid">
        <fgColor theme="0"/>
        <bgColor rgb="FFFFFF00"/>
      </patternFill>
    </fill>
  </fills>
  <borders count="17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diagonal/>
    </border>
    <border>
      <left/>
      <right/>
      <top style="double">
        <color indexed="64"/>
      </top>
      <bottom/>
      <diagonal/>
    </border>
    <border>
      <left/>
      <right style="medium">
        <color indexed="64"/>
      </right>
      <top style="double">
        <color indexed="64"/>
      </top>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theme="0" tint="-0.499984740745262"/>
      </left>
      <right style="medium">
        <color theme="0" tint="-0.499984740745262"/>
      </right>
      <top style="thin">
        <color indexed="64"/>
      </top>
      <bottom style="medium">
        <color indexed="64"/>
      </bottom>
      <diagonal/>
    </border>
    <border>
      <left style="medium">
        <color theme="0" tint="-0.499984740745262"/>
      </left>
      <right style="medium">
        <color theme="0" tint="-0.499984740745262"/>
      </right>
      <top style="thin">
        <color indexed="64"/>
      </top>
      <bottom style="thin">
        <color indexed="64"/>
      </bottom>
      <diagonal/>
    </border>
    <border>
      <left style="medium">
        <color theme="0" tint="-0.499984740745262"/>
      </left>
      <right style="medium">
        <color theme="0" tint="-0.499984740745262"/>
      </right>
      <top style="medium">
        <color indexed="64"/>
      </top>
      <bottom style="thin">
        <color indexed="64"/>
      </bottom>
      <diagonal/>
    </border>
    <border>
      <left style="medium">
        <color theme="0" tint="-0.499984740745262"/>
      </left>
      <right style="medium">
        <color theme="0" tint="-0.499984740745262"/>
      </right>
      <top style="thin">
        <color indexed="64"/>
      </top>
      <bottom style="double">
        <color indexed="64"/>
      </bottom>
      <diagonal/>
    </border>
    <border>
      <left style="medium">
        <color theme="0" tint="-0.499984740745262"/>
      </left>
      <right style="medium">
        <color theme="0" tint="-0.499984740745262"/>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right style="medium">
        <color theme="0" tint="-0.499984740745262"/>
      </right>
      <top style="thin">
        <color indexed="64"/>
      </top>
      <bottom style="thin">
        <color indexed="64"/>
      </bottom>
      <diagonal/>
    </border>
    <border>
      <left/>
      <right style="medium">
        <color theme="0" tint="-0.499984740745262"/>
      </right>
      <top style="thin">
        <color indexed="64"/>
      </top>
      <bottom style="medium">
        <color indexed="64"/>
      </bottom>
      <diagonal/>
    </border>
    <border>
      <left/>
      <right style="medium">
        <color theme="0" tint="-0.499984740745262"/>
      </right>
      <top style="medium">
        <color indexed="64"/>
      </top>
      <bottom style="thin">
        <color indexed="64"/>
      </bottom>
      <diagonal/>
    </border>
    <border>
      <left/>
      <right style="medium">
        <color theme="0" tint="-0.499984740745262"/>
      </right>
      <top style="thin">
        <color indexed="64"/>
      </top>
      <bottom style="double">
        <color indexed="64"/>
      </bottom>
      <diagonal/>
    </border>
    <border>
      <left/>
      <right style="medium">
        <color theme="0" tint="-0.499984740745262"/>
      </right>
      <top style="double">
        <color indexed="64"/>
      </top>
      <bottom style="medium">
        <color indexed="64"/>
      </bottom>
      <diagonal/>
    </border>
    <border>
      <left style="medium">
        <color indexed="64"/>
      </left>
      <right style="medium">
        <color theme="0" tint="-0.499984740745262"/>
      </right>
      <top style="thin">
        <color indexed="64"/>
      </top>
      <bottom style="medium">
        <color indexed="64"/>
      </bottom>
      <diagonal/>
    </border>
    <border>
      <left style="medium">
        <color indexed="64"/>
      </left>
      <right style="medium">
        <color theme="0" tint="-0.499984740745262"/>
      </right>
      <top style="thin">
        <color indexed="64"/>
      </top>
      <bottom style="thin">
        <color indexed="64"/>
      </bottom>
      <diagonal/>
    </border>
    <border>
      <left style="medium">
        <color indexed="64"/>
      </left>
      <right style="medium">
        <color theme="0" tint="-0.499984740745262"/>
      </right>
      <top style="medium">
        <color indexed="64"/>
      </top>
      <bottom style="thin">
        <color indexed="64"/>
      </bottom>
      <diagonal/>
    </border>
    <border>
      <left style="medium">
        <color indexed="64"/>
      </left>
      <right style="medium">
        <color theme="0" tint="-0.499984740745262"/>
      </right>
      <top/>
      <bottom style="thin">
        <color indexed="64"/>
      </bottom>
      <diagonal/>
    </border>
    <border>
      <left style="medium">
        <color indexed="64"/>
      </left>
      <right style="medium">
        <color theme="0" tint="-0.499984740745262"/>
      </right>
      <top/>
      <bottom/>
      <diagonal/>
    </border>
    <border>
      <left style="medium">
        <color indexed="64"/>
      </left>
      <right style="medium">
        <color theme="0" tint="-0.499984740745262"/>
      </right>
      <top style="thin">
        <color indexed="64"/>
      </top>
      <bottom style="double">
        <color indexed="64"/>
      </bottom>
      <diagonal/>
    </border>
    <border>
      <left style="medium">
        <color indexed="64"/>
      </left>
      <right style="medium">
        <color theme="0" tint="-0.499984740745262"/>
      </right>
      <top style="double">
        <color indexed="64"/>
      </top>
      <bottom style="medium">
        <color indexed="64"/>
      </bottom>
      <diagonal/>
    </border>
    <border>
      <left style="medium">
        <color indexed="64"/>
      </left>
      <right style="medium">
        <color theme="0" tint="-0.499984740745262"/>
      </right>
      <top/>
      <bottom style="medium">
        <color indexed="64"/>
      </bottom>
      <diagonal/>
    </border>
    <border>
      <left style="medium">
        <color indexed="64"/>
      </left>
      <right style="medium">
        <color theme="0" tint="-0.499984740745262"/>
      </right>
      <top style="thin">
        <color indexed="64"/>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style="thin">
        <color indexed="64"/>
      </top>
      <bottom/>
      <diagonal/>
    </border>
    <border>
      <left style="medium">
        <color theme="0" tint="-0.499984740745262"/>
      </left>
      <right style="medium">
        <color theme="0" tint="-0.499984740745262"/>
      </right>
      <top/>
      <bottom style="thin">
        <color indexed="64"/>
      </bottom>
      <diagonal/>
    </border>
    <border>
      <left style="medium">
        <color theme="0" tint="-0.499984740745262"/>
      </left>
      <right style="medium">
        <color theme="0" tint="-0.499984740745262"/>
      </right>
      <top/>
      <bottom style="medium">
        <color indexed="64"/>
      </bottom>
      <diagonal/>
    </border>
    <border>
      <left style="medium">
        <color theme="0" tint="-0.499984740745262"/>
      </left>
      <right style="medium">
        <color theme="0" tint="-0.499984740745262"/>
      </right>
      <top/>
      <bottom style="double">
        <color indexed="64"/>
      </bottom>
      <diagonal/>
    </border>
    <border>
      <left/>
      <right style="medium">
        <color indexed="64"/>
      </right>
      <top/>
      <bottom style="double">
        <color indexed="64"/>
      </bottom>
      <diagonal/>
    </border>
    <border>
      <left/>
      <right style="medium">
        <color theme="0" tint="-0.499984740745262"/>
      </right>
      <top/>
      <bottom style="thin">
        <color indexed="64"/>
      </bottom>
      <diagonal/>
    </border>
    <border>
      <left/>
      <right style="medium">
        <color theme="0" tint="-0.499984740745262"/>
      </right>
      <top/>
      <bottom/>
      <diagonal/>
    </border>
    <border>
      <left/>
      <right style="medium">
        <color theme="0" tint="-0.499984740745262"/>
      </right>
      <top/>
      <bottom style="double">
        <color indexed="64"/>
      </bottom>
      <diagonal/>
    </border>
    <border>
      <left style="thin">
        <color indexed="64"/>
      </left>
      <right style="medium">
        <color theme="0" tint="-0.499984740745262"/>
      </right>
      <top/>
      <bottom style="medium">
        <color indexed="64"/>
      </bottom>
      <diagonal/>
    </border>
    <border>
      <left style="thin">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right style="thin">
        <color auto="1"/>
      </right>
      <top style="thick">
        <color rgb="FFFF0000"/>
      </top>
      <bottom style="thin">
        <color auto="1"/>
      </bottom>
      <diagonal/>
    </border>
    <border>
      <left style="thin">
        <color auto="1"/>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hair">
        <color auto="1"/>
      </right>
      <top/>
      <bottom/>
      <diagonal/>
    </border>
    <border>
      <left style="hair">
        <color auto="1"/>
      </left>
      <right style="hair">
        <color auto="1"/>
      </right>
      <top/>
      <bottom/>
      <diagonal/>
    </border>
    <border>
      <left style="thin">
        <color auto="1"/>
      </left>
      <right/>
      <top/>
      <bottom style="thin">
        <color auto="1"/>
      </bottom>
      <diagonal/>
    </border>
    <border>
      <left/>
      <right/>
      <top/>
      <bottom style="hair">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thin">
        <color indexed="64"/>
      </top>
      <bottom style="thin">
        <color indexed="64"/>
      </bottom>
      <diagonal/>
    </border>
    <border>
      <left style="thin">
        <color indexed="64"/>
      </left>
      <right/>
      <top style="thin">
        <color indexed="64"/>
      </top>
      <bottom/>
      <diagonal/>
    </border>
    <border>
      <left style="thin">
        <color auto="1"/>
      </left>
      <right/>
      <top/>
      <bottom style="thin">
        <color indexed="64"/>
      </bottom>
      <diagonal/>
    </border>
    <border>
      <left style="medium">
        <color rgb="FFFF0000"/>
      </left>
      <right style="thin">
        <color auto="1"/>
      </right>
      <top/>
      <bottom style="thin">
        <color indexed="64"/>
      </bottom>
      <diagonal/>
    </border>
    <border>
      <left style="thin">
        <color indexed="64"/>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rgb="FFFF0000"/>
      </left>
      <right/>
      <top style="thin">
        <color rgb="FFFF0000"/>
      </top>
      <bottom style="thin">
        <color rgb="FFFF0000"/>
      </bottom>
      <diagonal/>
    </border>
    <border>
      <left/>
      <right/>
      <top style="thin">
        <color indexed="64"/>
      </top>
      <bottom style="thin">
        <color indexed="64"/>
      </bottom>
      <diagonal/>
    </border>
    <border>
      <left/>
      <right style="thick">
        <color theme="3" tint="0.39997558519241921"/>
      </right>
      <top/>
      <bottom style="thin">
        <color indexed="64"/>
      </bottom>
      <diagonal/>
    </border>
    <border>
      <left style="thin">
        <color indexed="64"/>
      </left>
      <right style="medium">
        <color indexed="64"/>
      </right>
      <top style="medium">
        <color indexed="64"/>
      </top>
      <bottom/>
      <diagonal/>
    </border>
    <border>
      <left/>
      <right style="thick">
        <color indexed="64"/>
      </right>
      <top/>
      <bottom/>
      <diagonal/>
    </border>
    <border>
      <left style="thin">
        <color auto="1"/>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6">
    <xf numFmtId="0" fontId="0" fillId="0" borderId="0"/>
    <xf numFmtId="44" fontId="1" fillId="0" borderId="0" applyFont="0" applyFill="0" applyBorder="0" applyAlignment="0" applyProtection="0"/>
    <xf numFmtId="0" fontId="53" fillId="0" borderId="0" applyNumberFormat="0" applyFill="0" applyBorder="0" applyAlignment="0" applyProtection="0"/>
    <xf numFmtId="44" fontId="113" fillId="0" borderId="0" applyFont="0" applyFill="0" applyBorder="0" applyAlignment="0" applyProtection="0"/>
    <xf numFmtId="9" fontId="113" fillId="0" borderId="0" applyFont="0" applyFill="0" applyBorder="0" applyAlignment="0" applyProtection="0"/>
    <xf numFmtId="0" fontId="114" fillId="0" borderId="0" applyNumberFormat="0" applyFill="0" applyBorder="0" applyAlignment="0" applyProtection="0"/>
  </cellStyleXfs>
  <cellXfs count="2178">
    <xf numFmtId="0" fontId="0" fillId="0" borderId="0" xfId="0"/>
    <xf numFmtId="0" fontId="7" fillId="0" borderId="0" xfId="0" applyFont="1" applyFill="1"/>
    <xf numFmtId="0" fontId="9" fillId="0" borderId="0" xfId="0" applyFont="1"/>
    <xf numFmtId="0" fontId="9" fillId="0" borderId="0" xfId="0" applyFont="1" applyBorder="1"/>
    <xf numFmtId="0" fontId="9" fillId="0" borderId="1" xfId="0" applyFont="1" applyBorder="1"/>
    <xf numFmtId="0" fontId="9" fillId="0" borderId="0" xfId="0" applyFont="1" applyFill="1"/>
    <xf numFmtId="164" fontId="17" fillId="0" borderId="0" xfId="0" applyNumberFormat="1" applyFont="1" applyFill="1" applyBorder="1"/>
    <xf numFmtId="0" fontId="18" fillId="0" borderId="0" xfId="0" applyFont="1"/>
    <xf numFmtId="14" fontId="18" fillId="0" borderId="0" xfId="0" applyNumberFormat="1" applyFont="1"/>
    <xf numFmtId="164" fontId="18" fillId="0" borderId="0" xfId="0" applyNumberFormat="1" applyFont="1"/>
    <xf numFmtId="0" fontId="21" fillId="0" borderId="0" xfId="0" applyFont="1"/>
    <xf numFmtId="0" fontId="22" fillId="0" borderId="0" xfId="0" applyFont="1"/>
    <xf numFmtId="164" fontId="17" fillId="0" borderId="1" xfId="0" applyNumberFormat="1" applyFont="1" applyFill="1" applyBorder="1"/>
    <xf numFmtId="164" fontId="9" fillId="0" borderId="2" xfId="0" applyNumberFormat="1" applyFont="1" applyFill="1" applyBorder="1" applyProtection="1">
      <protection hidden="1"/>
    </xf>
    <xf numFmtId="164" fontId="19" fillId="0" borderId="0" xfId="0" applyNumberFormat="1" applyFont="1"/>
    <xf numFmtId="14" fontId="24" fillId="0" borderId="0" xfId="0" applyNumberFormat="1" applyFont="1"/>
    <xf numFmtId="0" fontId="25" fillId="3" borderId="4" xfId="0" applyFont="1" applyFill="1" applyBorder="1"/>
    <xf numFmtId="0" fontId="17" fillId="3" borderId="5" xfId="0" applyFont="1" applyFill="1" applyBorder="1" applyAlignment="1"/>
    <xf numFmtId="0" fontId="17" fillId="3" borderId="3" xfId="0" applyFont="1" applyFill="1" applyBorder="1"/>
    <xf numFmtId="0" fontId="17" fillId="2" borderId="5" xfId="0" applyFont="1" applyFill="1" applyBorder="1"/>
    <xf numFmtId="0" fontId="17" fillId="0" borderId="2" xfId="0" applyFont="1" applyBorder="1"/>
    <xf numFmtId="164" fontId="17" fillId="0" borderId="6" xfId="0" applyNumberFormat="1" applyFont="1" applyBorder="1"/>
    <xf numFmtId="164" fontId="17" fillId="0" borderId="2" xfId="0" applyNumberFormat="1" applyFont="1" applyFill="1" applyBorder="1"/>
    <xf numFmtId="164" fontId="17" fillId="4" borderId="2" xfId="0" applyNumberFormat="1" applyFont="1" applyFill="1" applyBorder="1" applyAlignment="1" applyProtection="1">
      <alignment horizontal="center"/>
      <protection locked="0"/>
    </xf>
    <xf numFmtId="164" fontId="17" fillId="0" borderId="2" xfId="0" applyNumberFormat="1" applyFont="1" applyFill="1" applyBorder="1" applyProtection="1"/>
    <xf numFmtId="164" fontId="17" fillId="0" borderId="2" xfId="0" applyNumberFormat="1" applyFont="1" applyFill="1" applyBorder="1" applyAlignment="1" applyProtection="1">
      <alignment horizontal="center"/>
      <protection locked="0"/>
    </xf>
    <xf numFmtId="164" fontId="17" fillId="4" borderId="2" xfId="0" applyNumberFormat="1" applyFont="1" applyFill="1" applyBorder="1" applyProtection="1">
      <protection locked="0"/>
    </xf>
    <xf numFmtId="164" fontId="17" fillId="0" borderId="0" xfId="0" applyNumberFormat="1" applyFont="1" applyFill="1" applyBorder="1" applyAlignment="1" applyProtection="1">
      <alignment horizontal="center"/>
      <protection locked="0"/>
    </xf>
    <xf numFmtId="164" fontId="17" fillId="0" borderId="1" xfId="0" applyNumberFormat="1" applyFont="1" applyFill="1" applyBorder="1" applyProtection="1"/>
    <xf numFmtId="164" fontId="17" fillId="4" borderId="1" xfId="0" applyNumberFormat="1" applyFont="1" applyFill="1" applyBorder="1" applyAlignment="1" applyProtection="1">
      <alignment horizontal="center"/>
      <protection locked="0"/>
    </xf>
    <xf numFmtId="1" fontId="17" fillId="0" borderId="2" xfId="0" applyNumberFormat="1" applyFont="1" applyFill="1" applyBorder="1" applyAlignment="1" applyProtection="1">
      <alignment horizontal="center"/>
    </xf>
    <xf numFmtId="49" fontId="17" fillId="4" borderId="2" xfId="0" applyNumberFormat="1" applyFont="1" applyFill="1" applyBorder="1" applyAlignment="1" applyProtection="1">
      <alignment horizontal="center"/>
      <protection locked="0"/>
    </xf>
    <xf numFmtId="1" fontId="17" fillId="0" borderId="7" xfId="0" applyNumberFormat="1" applyFont="1" applyFill="1" applyBorder="1" applyAlignment="1" applyProtection="1">
      <alignment horizontal="center"/>
    </xf>
    <xf numFmtId="0" fontId="17" fillId="0" borderId="7" xfId="0" applyFont="1" applyFill="1" applyBorder="1" applyAlignment="1" applyProtection="1">
      <alignment horizontal="center"/>
    </xf>
    <xf numFmtId="0" fontId="17" fillId="0" borderId="1" xfId="0" applyFont="1" applyBorder="1"/>
    <xf numFmtId="164" fontId="17" fillId="5" borderId="6" xfId="0" applyNumberFormat="1" applyFont="1" applyFill="1" applyBorder="1"/>
    <xf numFmtId="164" fontId="17" fillId="0" borderId="2" xfId="0" applyNumberFormat="1" applyFont="1" applyFill="1" applyBorder="1" applyProtection="1">
      <protection locked="0"/>
    </xf>
    <xf numFmtId="164" fontId="17" fillId="0" borderId="2" xfId="0" applyNumberFormat="1" applyFont="1" applyBorder="1"/>
    <xf numFmtId="164" fontId="6" fillId="0" borderId="2" xfId="0" applyNumberFormat="1" applyFont="1" applyBorder="1"/>
    <xf numFmtId="164" fontId="17" fillId="4" borderId="1" xfId="0" applyNumberFormat="1" applyFont="1" applyFill="1" applyBorder="1" applyProtection="1">
      <protection locked="0"/>
    </xf>
    <xf numFmtId="164" fontId="17" fillId="0" borderId="6" xfId="0" applyNumberFormat="1" applyFont="1" applyFill="1" applyBorder="1"/>
    <xf numFmtId="0" fontId="17" fillId="0" borderId="2" xfId="0" applyFont="1" applyFill="1" applyBorder="1"/>
    <xf numFmtId="1" fontId="17" fillId="4" borderId="2" xfId="0" applyNumberFormat="1" applyFont="1" applyFill="1" applyBorder="1" applyAlignment="1" applyProtection="1">
      <alignment horizontal="center"/>
      <protection locked="0"/>
    </xf>
    <xf numFmtId="164" fontId="17" fillId="4" borderId="6" xfId="0" applyNumberFormat="1" applyFont="1" applyFill="1" applyBorder="1" applyProtection="1">
      <protection locked="0"/>
    </xf>
    <xf numFmtId="164" fontId="17" fillId="0" borderId="7" xfId="0" applyNumberFormat="1" applyFont="1" applyFill="1" applyBorder="1"/>
    <xf numFmtId="164" fontId="17" fillId="0" borderId="7" xfId="0" applyNumberFormat="1" applyFont="1" applyFill="1" applyBorder="1" applyProtection="1"/>
    <xf numFmtId="164" fontId="17" fillId="4" borderId="8" xfId="0" applyNumberFormat="1" applyFont="1" applyFill="1" applyBorder="1" applyProtection="1">
      <protection locked="0"/>
    </xf>
    <xf numFmtId="164" fontId="17" fillId="0" borderId="6" xfId="0" applyNumberFormat="1" applyFont="1" applyFill="1" applyBorder="1" applyProtection="1"/>
    <xf numFmtId="164" fontId="17" fillId="4" borderId="7" xfId="0" applyNumberFormat="1" applyFont="1" applyFill="1" applyBorder="1" applyProtection="1">
      <protection locked="0"/>
    </xf>
    <xf numFmtId="164" fontId="17" fillId="0" borderId="9" xfId="0" applyNumberFormat="1" applyFont="1" applyFill="1" applyBorder="1"/>
    <xf numFmtId="164" fontId="17" fillId="4" borderId="9" xfId="0" applyNumberFormat="1" applyFont="1" applyFill="1" applyBorder="1" applyProtection="1">
      <protection locked="0"/>
    </xf>
    <xf numFmtId="164" fontId="17" fillId="0" borderId="9" xfId="0" applyNumberFormat="1" applyFont="1" applyFill="1" applyBorder="1" applyProtection="1"/>
    <xf numFmtId="164" fontId="17" fillId="0" borderId="10" xfId="0" applyNumberFormat="1" applyFont="1" applyFill="1" applyBorder="1" applyProtection="1"/>
    <xf numFmtId="164" fontId="17" fillId="0" borderId="8" xfId="0" applyNumberFormat="1" applyFont="1" applyFill="1" applyBorder="1" applyProtection="1"/>
    <xf numFmtId="164" fontId="17" fillId="0" borderId="11" xfId="0" applyNumberFormat="1" applyFont="1" applyFill="1" applyBorder="1" applyProtection="1"/>
    <xf numFmtId="164" fontId="17" fillId="0" borderId="12" xfId="0" applyNumberFormat="1" applyFont="1" applyFill="1" applyBorder="1"/>
    <xf numFmtId="164" fontId="17" fillId="0" borderId="12" xfId="0" applyNumberFormat="1" applyFont="1" applyFill="1" applyBorder="1" applyAlignment="1" applyProtection="1">
      <alignment horizontal="center"/>
      <protection locked="0"/>
    </xf>
    <xf numFmtId="164" fontId="17" fillId="0" borderId="12" xfId="0" applyNumberFormat="1" applyFont="1" applyFill="1" applyBorder="1" applyProtection="1"/>
    <xf numFmtId="164" fontId="17" fillId="0" borderId="6" xfId="0" applyNumberFormat="1" applyFont="1" applyFill="1" applyBorder="1" applyProtection="1">
      <protection locked="0"/>
    </xf>
    <xf numFmtId="3" fontId="17" fillId="4" borderId="2" xfId="0" applyNumberFormat="1" applyFont="1" applyFill="1" applyBorder="1" applyAlignment="1" applyProtection="1">
      <alignment horizontal="center"/>
      <protection locked="0"/>
    </xf>
    <xf numFmtId="3" fontId="17" fillId="4" borderId="8" xfId="0" applyNumberFormat="1" applyFont="1" applyFill="1" applyBorder="1" applyAlignment="1" applyProtection="1">
      <alignment horizontal="center"/>
      <protection locked="0"/>
    </xf>
    <xf numFmtId="165" fontId="17" fillId="4" borderId="2" xfId="0" applyNumberFormat="1" applyFont="1" applyFill="1" applyBorder="1" applyAlignment="1" applyProtection="1">
      <alignment horizontal="center"/>
      <protection locked="0"/>
    </xf>
    <xf numFmtId="164" fontId="17" fillId="0" borderId="2" xfId="0" applyNumberFormat="1" applyFont="1" applyFill="1" applyBorder="1" applyProtection="1">
      <protection hidden="1"/>
    </xf>
    <xf numFmtId="0" fontId="17" fillId="6" borderId="5" xfId="0" applyFont="1" applyFill="1" applyBorder="1"/>
    <xf numFmtId="164" fontId="17" fillId="0" borderId="0" xfId="0" applyNumberFormat="1" applyFont="1" applyFill="1" applyBorder="1" applyProtection="1"/>
    <xf numFmtId="164" fontId="17" fillId="0" borderId="0" xfId="0" applyNumberFormat="1" applyFont="1" applyBorder="1"/>
    <xf numFmtId="0" fontId="7" fillId="7" borderId="13" xfId="0" applyFont="1" applyFill="1" applyBorder="1"/>
    <xf numFmtId="0" fontId="23" fillId="7" borderId="14" xfId="0" applyFont="1" applyFill="1" applyBorder="1"/>
    <xf numFmtId="0" fontId="8" fillId="7" borderId="14" xfId="0" applyFont="1" applyFill="1" applyBorder="1"/>
    <xf numFmtId="0" fontId="10" fillId="7" borderId="14" xfId="0" applyFont="1" applyFill="1" applyBorder="1"/>
    <xf numFmtId="0" fontId="7" fillId="7" borderId="14" xfId="0" applyFont="1" applyFill="1" applyBorder="1"/>
    <xf numFmtId="0" fontId="7" fillId="7" borderId="15" xfId="0" applyFont="1" applyFill="1" applyBorder="1"/>
    <xf numFmtId="0" fontId="5" fillId="0" borderId="16" xfId="0" applyFont="1" applyBorder="1"/>
    <xf numFmtId="0" fontId="5" fillId="0" borderId="17" xfId="0" applyFont="1" applyBorder="1"/>
    <xf numFmtId="0" fontId="9" fillId="7" borderId="18" xfId="0" applyFont="1" applyFill="1" applyBorder="1"/>
    <xf numFmtId="0" fontId="13" fillId="7" borderId="19" xfId="0" applyFont="1" applyFill="1" applyBorder="1"/>
    <xf numFmtId="0" fontId="9" fillId="7" borderId="19" xfId="0" applyFont="1" applyFill="1" applyBorder="1"/>
    <xf numFmtId="0" fontId="9" fillId="7" borderId="20" xfId="0" applyFont="1" applyFill="1" applyBorder="1"/>
    <xf numFmtId="0" fontId="5" fillId="8" borderId="5" xfId="0" applyFont="1" applyFill="1" applyBorder="1"/>
    <xf numFmtId="0" fontId="17" fillId="0" borderId="5" xfId="0" applyFont="1" applyBorder="1"/>
    <xf numFmtId="49" fontId="17" fillId="4" borderId="8" xfId="0" applyNumberFormat="1" applyFont="1" applyFill="1" applyBorder="1" applyAlignment="1" applyProtection="1">
      <alignment horizontal="center"/>
      <protection locked="0"/>
    </xf>
    <xf numFmtId="0" fontId="17" fillId="0" borderId="21" xfId="0" applyFont="1" applyBorder="1"/>
    <xf numFmtId="0" fontId="17" fillId="0" borderId="22" xfId="0" applyFont="1" applyFill="1" applyBorder="1" applyAlignment="1" applyProtection="1">
      <alignment horizontal="center"/>
    </xf>
    <xf numFmtId="164" fontId="17" fillId="4" borderId="8" xfId="0" applyNumberFormat="1" applyFont="1" applyFill="1" applyBorder="1" applyAlignment="1" applyProtection="1">
      <alignment horizontal="center"/>
      <protection locked="0"/>
    </xf>
    <xf numFmtId="49" fontId="17" fillId="0" borderId="5" xfId="0" applyNumberFormat="1" applyFont="1" applyBorder="1"/>
    <xf numFmtId="49" fontId="17" fillId="0" borderId="23" xfId="0" applyNumberFormat="1" applyFont="1" applyBorder="1"/>
    <xf numFmtId="164" fontId="17" fillId="4" borderId="11" xfId="0" applyNumberFormat="1" applyFont="1" applyFill="1" applyBorder="1" applyAlignment="1" applyProtection="1">
      <alignment horizontal="center"/>
      <protection locked="0"/>
    </xf>
    <xf numFmtId="49" fontId="5" fillId="8" borderId="24" xfId="0" applyNumberFormat="1" applyFont="1" applyFill="1" applyBorder="1"/>
    <xf numFmtId="164" fontId="17" fillId="0" borderId="25" xfId="0" applyNumberFormat="1" applyFont="1" applyBorder="1"/>
    <xf numFmtId="49" fontId="17" fillId="4" borderId="5" xfId="0" applyNumberFormat="1" applyFont="1" applyFill="1" applyBorder="1" applyProtection="1">
      <protection locked="0"/>
    </xf>
    <xf numFmtId="0" fontId="17" fillId="4" borderId="5" xfId="0" applyFont="1" applyFill="1" applyBorder="1" applyProtection="1">
      <protection locked="0"/>
    </xf>
    <xf numFmtId="0" fontId="17" fillId="0" borderId="8" xfId="0" applyFont="1" applyBorder="1"/>
    <xf numFmtId="0" fontId="17" fillId="0" borderId="5" xfId="0" applyFont="1" applyFill="1" applyBorder="1" applyProtection="1">
      <protection locked="0"/>
    </xf>
    <xf numFmtId="164" fontId="6" fillId="0" borderId="8" xfId="0" applyNumberFormat="1" applyFont="1" applyBorder="1"/>
    <xf numFmtId="0" fontId="17" fillId="4" borderId="3" xfId="0" applyFont="1" applyFill="1" applyBorder="1" applyProtection="1">
      <protection locked="0"/>
    </xf>
    <xf numFmtId="0" fontId="5" fillId="8" borderId="24" xfId="0" applyFont="1" applyFill="1" applyBorder="1"/>
    <xf numFmtId="164" fontId="17" fillId="4" borderId="11" xfId="0" applyNumberFormat="1" applyFont="1" applyFill="1" applyBorder="1" applyProtection="1">
      <protection locked="0"/>
    </xf>
    <xf numFmtId="0" fontId="17" fillId="0" borderId="5" xfId="0" applyFont="1" applyFill="1" applyBorder="1"/>
    <xf numFmtId="164" fontId="17" fillId="4" borderId="22" xfId="0" applyNumberFormat="1" applyFont="1" applyFill="1" applyBorder="1" applyProtection="1">
      <protection locked="0"/>
    </xf>
    <xf numFmtId="0" fontId="17" fillId="0" borderId="24" xfId="0" applyFont="1" applyFill="1" applyBorder="1"/>
    <xf numFmtId="0" fontId="9" fillId="7" borderId="13" xfId="0" applyFont="1" applyFill="1" applyBorder="1"/>
    <xf numFmtId="0" fontId="13" fillId="7" borderId="14" xfId="0" applyFont="1" applyFill="1" applyBorder="1"/>
    <xf numFmtId="0" fontId="9" fillId="7" borderId="14" xfId="0" applyFont="1" applyFill="1" applyBorder="1"/>
    <xf numFmtId="0" fontId="9" fillId="7" borderId="15" xfId="0" applyFont="1" applyFill="1" applyBorder="1"/>
    <xf numFmtId="0" fontId="5" fillId="8" borderId="21" xfId="0" applyFont="1" applyFill="1" applyBorder="1"/>
    <xf numFmtId="0" fontId="17" fillId="9" borderId="5" xfId="0" applyFont="1" applyFill="1" applyBorder="1"/>
    <xf numFmtId="1" fontId="17" fillId="4" borderId="8" xfId="0" applyNumberFormat="1" applyFont="1" applyFill="1" applyBorder="1" applyAlignment="1" applyProtection="1">
      <alignment horizontal="center"/>
      <protection locked="0"/>
    </xf>
    <xf numFmtId="0" fontId="17" fillId="9" borderId="5" xfId="0" applyFont="1" applyFill="1" applyBorder="1" applyAlignment="1">
      <alignment horizontal="left" wrapText="1" readingOrder="1"/>
    </xf>
    <xf numFmtId="0" fontId="6" fillId="9" borderId="5" xfId="0" applyFont="1" applyFill="1" applyBorder="1"/>
    <xf numFmtId="165" fontId="17" fillId="4" borderId="8" xfId="0" applyNumberFormat="1" applyFont="1" applyFill="1" applyBorder="1" applyAlignment="1" applyProtection="1">
      <alignment horizontal="center"/>
      <protection locked="0"/>
    </xf>
    <xf numFmtId="164" fontId="17" fillId="0" borderId="8" xfId="0" applyNumberFormat="1" applyFont="1" applyFill="1" applyBorder="1" applyProtection="1">
      <protection hidden="1"/>
    </xf>
    <xf numFmtId="0" fontId="9" fillId="0" borderId="23" xfId="0" applyFont="1" applyBorder="1"/>
    <xf numFmtId="0" fontId="17" fillId="0" borderId="24" xfId="0" applyFont="1" applyBorder="1"/>
    <xf numFmtId="0" fontId="17" fillId="0" borderId="26" xfId="0" applyFont="1" applyFill="1" applyBorder="1"/>
    <xf numFmtId="164" fontId="17" fillId="0" borderId="27" xfId="0" applyNumberFormat="1" applyFont="1" applyFill="1" applyBorder="1" applyProtection="1"/>
    <xf numFmtId="164" fontId="17" fillId="4" borderId="25" xfId="0" applyNumberFormat="1" applyFont="1" applyFill="1" applyBorder="1" applyProtection="1">
      <protection locked="0"/>
    </xf>
    <xf numFmtId="164" fontId="17" fillId="0" borderId="25" xfId="0" applyNumberFormat="1" applyFont="1" applyFill="1" applyBorder="1" applyProtection="1"/>
    <xf numFmtId="0" fontId="17" fillId="9" borderId="24" xfId="0" applyFont="1" applyFill="1" applyBorder="1"/>
    <xf numFmtId="49" fontId="6" fillId="9" borderId="4" xfId="0" applyNumberFormat="1" applyFont="1" applyFill="1" applyBorder="1"/>
    <xf numFmtId="164" fontId="17" fillId="4" borderId="10" xfId="0" applyNumberFormat="1" applyFont="1" applyFill="1" applyBorder="1" applyProtection="1">
      <protection locked="0"/>
    </xf>
    <xf numFmtId="0" fontId="17" fillId="9" borderId="3" xfId="0" applyFont="1" applyFill="1" applyBorder="1"/>
    <xf numFmtId="0" fontId="17" fillId="0" borderId="9" xfId="0" applyFont="1" applyFill="1" applyBorder="1"/>
    <xf numFmtId="0" fontId="17" fillId="0" borderId="10" xfId="0" applyFont="1" applyFill="1" applyBorder="1"/>
    <xf numFmtId="0" fontId="17" fillId="0" borderId="3" xfId="0" applyFont="1" applyBorder="1"/>
    <xf numFmtId="0" fontId="17" fillId="4" borderId="5" xfId="0" applyFont="1" applyFill="1" applyBorder="1" applyAlignment="1" applyProtection="1">
      <alignment wrapText="1"/>
      <protection locked="0"/>
    </xf>
    <xf numFmtId="0" fontId="27" fillId="0" borderId="5" xfId="0" applyFont="1" applyFill="1" applyBorder="1" applyProtection="1">
      <protection hidden="1"/>
    </xf>
    <xf numFmtId="0" fontId="27" fillId="0" borderId="26" xfId="0" applyFont="1" applyFill="1" applyBorder="1"/>
    <xf numFmtId="0" fontId="6" fillId="0" borderId="21" xfId="0" applyFont="1" applyFill="1" applyBorder="1" applyProtection="1"/>
    <xf numFmtId="164" fontId="17" fillId="0" borderId="6" xfId="0" applyNumberFormat="1" applyFont="1" applyFill="1" applyBorder="1" applyProtection="1">
      <protection hidden="1"/>
    </xf>
    <xf numFmtId="164" fontId="17" fillId="4" borderId="2" xfId="0" applyNumberFormat="1" applyFont="1" applyFill="1" applyBorder="1" applyAlignment="1" applyProtection="1">
      <alignment horizontal="right"/>
      <protection locked="0"/>
    </xf>
    <xf numFmtId="164" fontId="17" fillId="0" borderId="0" xfId="0" applyNumberFormat="1" applyFont="1" applyFill="1" applyBorder="1" applyAlignment="1" applyProtection="1">
      <alignment horizontal="right"/>
      <protection hidden="1"/>
    </xf>
    <xf numFmtId="164" fontId="17" fillId="10" borderId="0" xfId="0" applyNumberFormat="1" applyFont="1" applyFill="1" applyBorder="1" applyAlignment="1" applyProtection="1">
      <alignment horizontal="right"/>
      <protection hidden="1"/>
    </xf>
    <xf numFmtId="164" fontId="17" fillId="0" borderId="12" xfId="0" applyNumberFormat="1" applyFont="1" applyFill="1" applyBorder="1" applyProtection="1">
      <protection hidden="1"/>
    </xf>
    <xf numFmtId="164" fontId="17" fillId="0" borderId="27" xfId="0" applyNumberFormat="1" applyFont="1" applyFill="1" applyBorder="1" applyProtection="1">
      <protection hidden="1"/>
    </xf>
    <xf numFmtId="0" fontId="6" fillId="10" borderId="24" xfId="0" applyFont="1" applyFill="1" applyBorder="1"/>
    <xf numFmtId="164" fontId="17" fillId="10" borderId="6" xfId="0" applyNumberFormat="1" applyFont="1" applyFill="1" applyBorder="1"/>
    <xf numFmtId="164" fontId="17" fillId="10" borderId="6" xfId="0" applyNumberFormat="1" applyFont="1" applyFill="1" applyBorder="1" applyProtection="1"/>
    <xf numFmtId="164" fontId="17" fillId="0" borderId="0" xfId="0" applyNumberFormat="1" applyFont="1" applyFill="1" applyBorder="1" applyProtection="1">
      <protection hidden="1"/>
    </xf>
    <xf numFmtId="0" fontId="16" fillId="0" borderId="5" xfId="0" applyFont="1" applyFill="1" applyBorder="1" applyAlignment="1">
      <alignment horizontal="left" wrapText="1" readingOrder="1"/>
    </xf>
    <xf numFmtId="0" fontId="28" fillId="0" borderId="5" xfId="0" applyFont="1" applyFill="1" applyBorder="1"/>
    <xf numFmtId="164" fontId="17" fillId="0" borderId="2" xfId="0" applyNumberFormat="1" applyFont="1" applyFill="1" applyBorder="1" applyAlignment="1" applyProtection="1">
      <alignment horizontal="right"/>
    </xf>
    <xf numFmtId="0" fontId="6" fillId="0" borderId="24" xfId="0" applyFont="1" applyFill="1" applyBorder="1"/>
    <xf numFmtId="164" fontId="17" fillId="11" borderId="0" xfId="0" applyNumberFormat="1" applyFont="1" applyFill="1" applyBorder="1" applyAlignment="1" applyProtection="1">
      <alignment horizontal="right"/>
      <protection hidden="1"/>
    </xf>
    <xf numFmtId="14" fontId="17" fillId="4" borderId="2" xfId="0" applyNumberFormat="1" applyFont="1" applyFill="1" applyBorder="1" applyAlignment="1" applyProtection="1">
      <alignment horizontal="center"/>
      <protection locked="0"/>
    </xf>
    <xf numFmtId="1" fontId="17" fillId="0" borderId="2" xfId="0" applyNumberFormat="1" applyFont="1" applyFill="1" applyBorder="1" applyProtection="1"/>
    <xf numFmtId="14" fontId="17" fillId="0" borderId="2" xfId="0" applyNumberFormat="1" applyFont="1" applyFill="1" applyBorder="1" applyAlignment="1" applyProtection="1">
      <alignment horizontal="center"/>
    </xf>
    <xf numFmtId="164" fontId="17" fillId="0" borderId="2" xfId="0" applyNumberFormat="1" applyFont="1" applyFill="1" applyBorder="1" applyAlignment="1" applyProtection="1">
      <alignment horizontal="center"/>
    </xf>
    <xf numFmtId="0" fontId="17" fillId="0" borderId="2" xfId="0" applyFont="1" applyFill="1" applyBorder="1" applyProtection="1"/>
    <xf numFmtId="0" fontId="17" fillId="0" borderId="8" xfId="0" applyFont="1" applyFill="1" applyBorder="1" applyProtection="1"/>
    <xf numFmtId="1" fontId="17" fillId="0" borderId="2" xfId="0" applyNumberFormat="1" applyFont="1" applyBorder="1"/>
    <xf numFmtId="0" fontId="17" fillId="0" borderId="2" xfId="0" applyFont="1" applyBorder="1" applyAlignment="1">
      <alignment horizontal="center"/>
    </xf>
    <xf numFmtId="0" fontId="17" fillId="0" borderId="7" xfId="0" applyFont="1" applyFill="1" applyBorder="1" applyAlignment="1" applyProtection="1">
      <alignment horizontal="center"/>
      <protection locked="0"/>
    </xf>
    <xf numFmtId="164" fontId="29" fillId="0" borderId="2" xfId="0" applyNumberFormat="1" applyFont="1" applyFill="1" applyBorder="1" applyAlignment="1" applyProtection="1">
      <alignment horizontal="right"/>
    </xf>
    <xf numFmtId="0" fontId="29" fillId="0" borderId="2" xfId="0" applyFont="1" applyBorder="1"/>
    <xf numFmtId="164" fontId="29" fillId="0" borderId="1" xfId="0" applyNumberFormat="1" applyFont="1" applyFill="1" applyBorder="1" applyAlignment="1" applyProtection="1">
      <alignment horizontal="right"/>
    </xf>
    <xf numFmtId="1" fontId="17" fillId="0" borderId="8" xfId="0" applyNumberFormat="1" applyFont="1" applyFill="1" applyBorder="1" applyAlignment="1" applyProtection="1">
      <alignment horizontal="center"/>
    </xf>
    <xf numFmtId="0" fontId="17" fillId="0" borderId="21" xfId="0" applyFont="1" applyBorder="1" applyProtection="1"/>
    <xf numFmtId="0" fontId="17" fillId="0" borderId="7" xfId="0" applyFont="1" applyBorder="1" applyProtection="1"/>
    <xf numFmtId="0" fontId="27" fillId="0" borderId="21" xfId="0" applyFont="1" applyBorder="1" applyProtection="1"/>
    <xf numFmtId="0" fontId="17" fillId="0" borderId="2" xfId="0" applyFont="1" applyFill="1" applyBorder="1" applyAlignment="1" applyProtection="1">
      <alignment horizontal="center"/>
    </xf>
    <xf numFmtId="0" fontId="17" fillId="0" borderId="8" xfId="0" applyFont="1" applyFill="1" applyBorder="1" applyAlignment="1" applyProtection="1">
      <alignment horizontal="center"/>
    </xf>
    <xf numFmtId="3" fontId="17" fillId="0" borderId="2" xfId="0" applyNumberFormat="1" applyFont="1" applyFill="1" applyBorder="1" applyAlignment="1" applyProtection="1">
      <alignment horizontal="center"/>
    </xf>
    <xf numFmtId="3" fontId="17" fillId="0" borderId="2" xfId="0" applyNumberFormat="1" applyFont="1" applyFill="1" applyBorder="1" applyAlignment="1" applyProtection="1">
      <alignment horizontal="left"/>
    </xf>
    <xf numFmtId="0" fontId="17" fillId="11" borderId="21" xfId="0" applyFont="1" applyFill="1" applyBorder="1" applyProtection="1"/>
    <xf numFmtId="1" fontId="17" fillId="11" borderId="7" xfId="0" applyNumberFormat="1" applyFont="1" applyFill="1" applyBorder="1" applyAlignment="1" applyProtection="1">
      <alignment horizontal="center"/>
    </xf>
    <xf numFmtId="0" fontId="17" fillId="11" borderId="2" xfId="0" applyFont="1" applyFill="1" applyBorder="1" applyAlignment="1" applyProtection="1">
      <alignment horizontal="center"/>
    </xf>
    <xf numFmtId="0" fontId="17" fillId="11" borderId="8" xfId="0" applyFont="1" applyFill="1" applyBorder="1" applyAlignment="1" applyProtection="1">
      <alignment horizontal="center"/>
    </xf>
    <xf numFmtId="0" fontId="9" fillId="11" borderId="0" xfId="0" applyFont="1" applyFill="1"/>
    <xf numFmtId="0" fontId="17" fillId="0" borderId="21" xfId="0" applyFont="1" applyFill="1" applyBorder="1" applyProtection="1"/>
    <xf numFmtId="0" fontId="5" fillId="8" borderId="4" xfId="0" applyFont="1" applyFill="1" applyBorder="1"/>
    <xf numFmtId="164" fontId="17" fillId="0" borderId="9" xfId="0" applyNumberFormat="1" applyFont="1" applyBorder="1"/>
    <xf numFmtId="164" fontId="17" fillId="0" borderId="10" xfId="0" applyNumberFormat="1" applyFont="1" applyBorder="1" applyProtection="1"/>
    <xf numFmtId="3" fontId="17" fillId="0" borderId="8" xfId="0" applyNumberFormat="1" applyFont="1" applyFill="1" applyBorder="1" applyAlignment="1" applyProtection="1">
      <alignment horizontal="center"/>
    </xf>
    <xf numFmtId="0" fontId="19" fillId="0" borderId="0" xfId="0" applyFont="1" applyProtection="1">
      <protection hidden="1"/>
    </xf>
    <xf numFmtId="0" fontId="17" fillId="0" borderId="23" xfId="0" applyFont="1" applyBorder="1"/>
    <xf numFmtId="164" fontId="17" fillId="0" borderId="28" xfId="0" applyNumberFormat="1" applyFont="1" applyFill="1" applyBorder="1" applyProtection="1">
      <protection hidden="1"/>
    </xf>
    <xf numFmtId="164" fontId="17" fillId="10" borderId="25" xfId="0" applyNumberFormat="1" applyFont="1" applyFill="1" applyBorder="1" applyProtection="1"/>
    <xf numFmtId="0" fontId="17" fillId="9" borderId="3" xfId="0" applyFont="1" applyFill="1" applyBorder="1" applyProtection="1"/>
    <xf numFmtId="0" fontId="5" fillId="8" borderId="4" xfId="0" applyFont="1" applyFill="1" applyBorder="1" applyProtection="1"/>
    <xf numFmtId="0" fontId="14" fillId="6" borderId="4" xfId="0" applyFont="1" applyFill="1" applyBorder="1" applyProtection="1"/>
    <xf numFmtId="0" fontId="9" fillId="0" borderId="0" xfId="0" applyFont="1" applyProtection="1"/>
    <xf numFmtId="0" fontId="17" fillId="0" borderId="0" xfId="0" applyFont="1" applyFill="1" applyBorder="1" applyProtection="1"/>
    <xf numFmtId="0" fontId="9" fillId="0" borderId="0" xfId="0" applyFont="1" applyFill="1" applyProtection="1"/>
    <xf numFmtId="0" fontId="9" fillId="0" borderId="0" xfId="0" applyFont="1" applyBorder="1" applyProtection="1"/>
    <xf numFmtId="0" fontId="6" fillId="0" borderId="0" xfId="0" applyFont="1" applyBorder="1" applyProtection="1"/>
    <xf numFmtId="164" fontId="17" fillId="0" borderId="0" xfId="0" applyNumberFormat="1" applyFont="1" applyBorder="1" applyProtection="1"/>
    <xf numFmtId="0" fontId="0" fillId="0" borderId="0" xfId="0" applyProtection="1"/>
    <xf numFmtId="0" fontId="26" fillId="0" borderId="0" xfId="0" applyFont="1" applyProtection="1"/>
    <xf numFmtId="164" fontId="0" fillId="0" borderId="0" xfId="0" applyNumberFormat="1" applyProtection="1"/>
    <xf numFmtId="164" fontId="17" fillId="0" borderId="8" xfId="0" applyNumberFormat="1" applyFont="1" applyFill="1" applyBorder="1" applyAlignment="1" applyProtection="1">
      <alignment horizontal="right"/>
    </xf>
    <xf numFmtId="164" fontId="17" fillId="0" borderId="25" xfId="0" applyNumberFormat="1" applyFont="1" applyFill="1" applyBorder="1" applyProtection="1">
      <protection hidden="1"/>
    </xf>
    <xf numFmtId="164" fontId="17" fillId="4" borderId="8" xfId="0" applyNumberFormat="1" applyFont="1" applyFill="1" applyBorder="1" applyAlignment="1" applyProtection="1">
      <alignment horizontal="right"/>
      <protection locked="0"/>
    </xf>
    <xf numFmtId="164" fontId="28" fillId="0" borderId="23" xfId="0" applyNumberFormat="1" applyFont="1" applyFill="1" applyBorder="1" applyAlignment="1" applyProtection="1">
      <alignment horizontal="left"/>
      <protection hidden="1"/>
    </xf>
    <xf numFmtId="164" fontId="17" fillId="0" borderId="23" xfId="0" applyNumberFormat="1" applyFont="1" applyFill="1" applyBorder="1" applyAlignment="1" applyProtection="1">
      <alignment horizontal="right"/>
      <protection hidden="1"/>
    </xf>
    <xf numFmtId="164" fontId="17" fillId="0" borderId="28" xfId="0" applyNumberFormat="1" applyFont="1" applyFill="1" applyBorder="1" applyAlignment="1" applyProtection="1">
      <alignment horizontal="right"/>
      <protection hidden="1"/>
    </xf>
    <xf numFmtId="0" fontId="28" fillId="0" borderId="23" xfId="0" applyFont="1" applyBorder="1"/>
    <xf numFmtId="164" fontId="9" fillId="0" borderId="0" xfId="0" applyNumberFormat="1" applyFont="1" applyBorder="1" applyProtection="1"/>
    <xf numFmtId="164" fontId="9" fillId="0" borderId="28" xfId="0" applyNumberFormat="1" applyFont="1" applyBorder="1" applyProtection="1"/>
    <xf numFmtId="164" fontId="9" fillId="0" borderId="0" xfId="0" applyNumberFormat="1" applyFont="1" applyBorder="1"/>
    <xf numFmtId="164" fontId="9" fillId="0" borderId="28" xfId="0" applyNumberFormat="1" applyFont="1" applyBorder="1"/>
    <xf numFmtId="164" fontId="9" fillId="11" borderId="0" xfId="0" applyNumberFormat="1" applyFont="1" applyFill="1" applyBorder="1"/>
    <xf numFmtId="164" fontId="9" fillId="11" borderId="28" xfId="0" applyNumberFormat="1" applyFont="1" applyFill="1" applyBorder="1"/>
    <xf numFmtId="0" fontId="28" fillId="0" borderId="23" xfId="0" applyFont="1" applyFill="1" applyBorder="1"/>
    <xf numFmtId="164" fontId="17" fillId="0" borderId="28" xfId="0" applyNumberFormat="1" applyFont="1" applyBorder="1"/>
    <xf numFmtId="0" fontId="17" fillId="0" borderId="23" xfId="0" applyFont="1" applyFill="1" applyBorder="1"/>
    <xf numFmtId="0" fontId="9" fillId="0" borderId="0" xfId="0" applyFont="1" applyProtection="1">
      <protection hidden="1"/>
    </xf>
    <xf numFmtId="0" fontId="7" fillId="0" borderId="0" xfId="0" applyFont="1" applyFill="1" applyProtection="1">
      <protection hidden="1"/>
    </xf>
    <xf numFmtId="164" fontId="9" fillId="0" borderId="2" xfId="0" applyNumberFormat="1" applyFont="1" applyBorder="1" applyProtection="1">
      <protection hidden="1"/>
    </xf>
    <xf numFmtId="164" fontId="9" fillId="5" borderId="2" xfId="0" applyNumberFormat="1" applyFont="1" applyFill="1" applyBorder="1" applyProtection="1">
      <protection hidden="1"/>
    </xf>
    <xf numFmtId="164" fontId="10" fillId="5" borderId="2" xfId="0" applyNumberFormat="1" applyFont="1" applyFill="1" applyBorder="1" applyProtection="1">
      <protection hidden="1"/>
    </xf>
    <xf numFmtId="164" fontId="9" fillId="5" borderId="29" xfId="0" applyNumberFormat="1" applyFont="1" applyFill="1" applyBorder="1" applyProtection="1">
      <protection hidden="1"/>
    </xf>
    <xf numFmtId="164" fontId="9" fillId="0" borderId="29" xfId="0" applyNumberFormat="1" applyFont="1" applyFill="1" applyBorder="1" applyProtection="1">
      <protection hidden="1"/>
    </xf>
    <xf numFmtId="0" fontId="9" fillId="0" borderId="0" xfId="0" applyFont="1" applyFill="1" applyProtection="1">
      <protection hidden="1"/>
    </xf>
    <xf numFmtId="8" fontId="9" fillId="0" borderId="12" xfId="0" applyNumberFormat="1" applyFont="1" applyFill="1" applyBorder="1" applyProtection="1">
      <protection hidden="1"/>
    </xf>
    <xf numFmtId="164" fontId="9" fillId="0" borderId="12" xfId="0" applyNumberFormat="1" applyFont="1" applyFill="1" applyBorder="1" applyProtection="1">
      <protection hidden="1"/>
    </xf>
    <xf numFmtId="164" fontId="9" fillId="0" borderId="0" xfId="0" applyNumberFormat="1" applyFont="1" applyFill="1" applyBorder="1" applyProtection="1">
      <protection hidden="1"/>
    </xf>
    <xf numFmtId="0" fontId="12" fillId="0" borderId="0" xfId="0" applyFont="1" applyFill="1" applyBorder="1" applyProtection="1">
      <protection hidden="1"/>
    </xf>
    <xf numFmtId="0" fontId="9" fillId="0" borderId="0" xfId="0" applyFont="1" applyFill="1" applyBorder="1" applyProtection="1">
      <protection hidden="1"/>
    </xf>
    <xf numFmtId="0" fontId="11" fillId="0" borderId="0" xfId="0" applyFont="1" applyFill="1" applyBorder="1" applyProtection="1">
      <protection hidden="1"/>
    </xf>
    <xf numFmtId="1" fontId="9" fillId="0" borderId="0" xfId="0" applyNumberFormat="1" applyFont="1" applyFill="1" applyBorder="1" applyAlignment="1" applyProtection="1">
      <alignment horizontal="center"/>
      <protection hidden="1"/>
    </xf>
    <xf numFmtId="0" fontId="10" fillId="0" borderId="0" xfId="0" applyFont="1" applyFill="1" applyBorder="1" applyProtection="1">
      <protection hidden="1"/>
    </xf>
    <xf numFmtId="0" fontId="9" fillId="7" borderId="18" xfId="0" applyFont="1" applyFill="1" applyBorder="1" applyProtection="1">
      <protection hidden="1"/>
    </xf>
    <xf numFmtId="0" fontId="9" fillId="7" borderId="19" xfId="0" applyFont="1" applyFill="1" applyBorder="1" applyProtection="1">
      <protection hidden="1"/>
    </xf>
    <xf numFmtId="0" fontId="9" fillId="7" borderId="20" xfId="0" applyFont="1" applyFill="1" applyBorder="1" applyProtection="1">
      <protection hidden="1"/>
    </xf>
    <xf numFmtId="0" fontId="9" fillId="0" borderId="5" xfId="0" applyFont="1" applyBorder="1" applyProtection="1">
      <protection hidden="1"/>
    </xf>
    <xf numFmtId="0" fontId="9" fillId="0" borderId="3" xfId="0" applyFont="1" applyBorder="1" applyProtection="1">
      <protection hidden="1"/>
    </xf>
    <xf numFmtId="0" fontId="6" fillId="0" borderId="24" xfId="0" applyFont="1" applyBorder="1" applyProtection="1">
      <protection hidden="1"/>
    </xf>
    <xf numFmtId="164" fontId="9" fillId="0" borderId="8" xfId="0" applyNumberFormat="1" applyFont="1" applyBorder="1" applyProtection="1">
      <protection hidden="1"/>
    </xf>
    <xf numFmtId="49" fontId="14" fillId="0" borderId="5" xfId="0" applyNumberFormat="1" applyFont="1" applyBorder="1" applyProtection="1">
      <protection hidden="1"/>
    </xf>
    <xf numFmtId="49" fontId="9" fillId="0" borderId="5" xfId="0" applyNumberFormat="1" applyFont="1" applyFill="1" applyBorder="1" applyProtection="1">
      <protection hidden="1"/>
    </xf>
    <xf numFmtId="0" fontId="10" fillId="0" borderId="5" xfId="0" applyFont="1" applyBorder="1" applyProtection="1">
      <protection hidden="1"/>
    </xf>
    <xf numFmtId="0" fontId="6" fillId="0" borderId="5" xfId="0" applyFont="1" applyBorder="1" applyProtection="1">
      <protection hidden="1"/>
    </xf>
    <xf numFmtId="0" fontId="9" fillId="0" borderId="30" xfId="0" applyFont="1" applyFill="1" applyBorder="1" applyProtection="1">
      <protection hidden="1"/>
    </xf>
    <xf numFmtId="164" fontId="9" fillId="0" borderId="31" xfId="0" applyNumberFormat="1" applyFont="1" applyFill="1" applyBorder="1" applyProtection="1">
      <protection hidden="1"/>
    </xf>
    <xf numFmtId="0" fontId="7" fillId="7" borderId="18" xfId="0" applyFont="1" applyFill="1" applyBorder="1" applyProtection="1">
      <protection hidden="1"/>
    </xf>
    <xf numFmtId="0" fontId="8" fillId="7" borderId="19" xfId="0" applyFont="1" applyFill="1" applyBorder="1" applyProtection="1">
      <protection hidden="1"/>
    </xf>
    <xf numFmtId="0" fontId="7" fillId="7" borderId="19" xfId="0" applyFont="1" applyFill="1" applyBorder="1" applyProtection="1">
      <protection hidden="1"/>
    </xf>
    <xf numFmtId="0" fontId="7" fillId="7" borderId="20" xfId="0" applyFont="1" applyFill="1" applyBorder="1" applyProtection="1">
      <protection hidden="1"/>
    </xf>
    <xf numFmtId="0" fontId="5" fillId="0" borderId="16" xfId="0" applyFont="1" applyBorder="1" applyProtection="1">
      <protection hidden="1"/>
    </xf>
    <xf numFmtId="0" fontId="5" fillId="0" borderId="17" xfId="0" applyFont="1" applyBorder="1" applyProtection="1">
      <protection hidden="1"/>
    </xf>
    <xf numFmtId="1" fontId="9" fillId="0" borderId="17" xfId="0" applyNumberFormat="1" applyFont="1" applyFill="1" applyBorder="1" applyAlignment="1" applyProtection="1">
      <alignment horizontal="center"/>
      <protection hidden="1"/>
    </xf>
    <xf numFmtId="0" fontId="9" fillId="0" borderId="32" xfId="0" applyFont="1" applyFill="1" applyBorder="1" applyProtection="1">
      <protection hidden="1"/>
    </xf>
    <xf numFmtId="0" fontId="6" fillId="5" borderId="33" xfId="0" applyFont="1" applyFill="1" applyBorder="1" applyProtection="1">
      <protection hidden="1"/>
    </xf>
    <xf numFmtId="0" fontId="9" fillId="0" borderId="23" xfId="0" applyFont="1" applyBorder="1" applyProtection="1">
      <protection hidden="1"/>
    </xf>
    <xf numFmtId="0" fontId="9" fillId="0" borderId="5" xfId="0" applyFont="1" applyFill="1" applyBorder="1" applyProtection="1">
      <protection hidden="1"/>
    </xf>
    <xf numFmtId="0" fontId="10" fillId="0" borderId="30" xfId="0" applyFont="1" applyBorder="1" applyProtection="1">
      <protection hidden="1"/>
    </xf>
    <xf numFmtId="0" fontId="9" fillId="0" borderId="24" xfId="0" applyFont="1" applyFill="1" applyBorder="1" applyProtection="1">
      <protection hidden="1"/>
    </xf>
    <xf numFmtId="0" fontId="10" fillId="0" borderId="5" xfId="0" applyFont="1" applyFill="1" applyBorder="1" applyProtection="1">
      <protection hidden="1"/>
    </xf>
    <xf numFmtId="164" fontId="9" fillId="0" borderId="23" xfId="0" applyNumberFormat="1" applyFont="1" applyFill="1" applyBorder="1" applyProtection="1">
      <protection hidden="1"/>
    </xf>
    <xf numFmtId="0" fontId="10" fillId="0" borderId="24" xfId="0" applyFont="1" applyBorder="1" applyProtection="1">
      <protection hidden="1"/>
    </xf>
    <xf numFmtId="0" fontId="9" fillId="0" borderId="23" xfId="0" applyFont="1" applyFill="1" applyBorder="1" applyProtection="1">
      <protection hidden="1"/>
    </xf>
    <xf numFmtId="49" fontId="10" fillId="0" borderId="24" xfId="0" applyNumberFormat="1" applyFont="1" applyFill="1" applyBorder="1" applyProtection="1">
      <protection hidden="1"/>
    </xf>
    <xf numFmtId="0" fontId="10" fillId="0" borderId="30" xfId="0" applyFont="1" applyFill="1" applyBorder="1" applyProtection="1">
      <protection hidden="1"/>
    </xf>
    <xf numFmtId="0" fontId="10" fillId="0" borderId="26" xfId="0" applyFont="1" applyFill="1" applyBorder="1" applyProtection="1">
      <protection hidden="1"/>
    </xf>
    <xf numFmtId="164" fontId="9" fillId="0" borderId="27" xfId="0" applyNumberFormat="1" applyFont="1" applyFill="1" applyBorder="1" applyProtection="1">
      <protection hidden="1"/>
    </xf>
    <xf numFmtId="0" fontId="28" fillId="0" borderId="0" xfId="0" applyFont="1" applyProtection="1"/>
    <xf numFmtId="0" fontId="5" fillId="14" borderId="34" xfId="0" applyFont="1" applyFill="1" applyBorder="1" applyProtection="1"/>
    <xf numFmtId="49" fontId="17" fillId="4" borderId="0" xfId="0" applyNumberFormat="1" applyFont="1" applyFill="1" applyBorder="1" applyAlignment="1" applyProtection="1">
      <alignment horizontal="center"/>
      <protection locked="0"/>
    </xf>
    <xf numFmtId="164" fontId="17" fillId="4" borderId="35" xfId="0" applyNumberFormat="1" applyFont="1" applyFill="1" applyBorder="1" applyAlignment="1" applyProtection="1">
      <alignment horizontal="center"/>
      <protection locked="0"/>
    </xf>
    <xf numFmtId="164" fontId="9" fillId="0" borderId="2" xfId="0" applyNumberFormat="1" applyFont="1" applyFill="1" applyBorder="1" applyProtection="1"/>
    <xf numFmtId="164" fontId="17" fillId="4" borderId="0" xfId="0" applyNumberFormat="1" applyFont="1" applyFill="1" applyBorder="1" applyAlignment="1" applyProtection="1">
      <alignment horizontal="center"/>
      <protection locked="0"/>
    </xf>
    <xf numFmtId="14" fontId="32" fillId="0" borderId="0" xfId="0" applyNumberFormat="1" applyFont="1"/>
    <xf numFmtId="0" fontId="9" fillId="0" borderId="26" xfId="0" applyFont="1" applyBorder="1" applyProtection="1">
      <protection hidden="1"/>
    </xf>
    <xf numFmtId="0" fontId="17" fillId="0" borderId="17" xfId="0" applyFont="1" applyBorder="1" applyAlignment="1" applyProtection="1">
      <alignment horizontal="center"/>
      <protection hidden="1"/>
    </xf>
    <xf numFmtId="0" fontId="33" fillId="9" borderId="4" xfId="0" applyFont="1" applyFill="1" applyBorder="1"/>
    <xf numFmtId="0" fontId="6" fillId="9" borderId="3" xfId="0" applyFont="1" applyFill="1" applyBorder="1"/>
    <xf numFmtId="164" fontId="17" fillId="0" borderId="36" xfId="0" applyNumberFormat="1" applyFont="1" applyFill="1" applyBorder="1"/>
    <xf numFmtId="0" fontId="17" fillId="0" borderId="0" xfId="0" applyFont="1"/>
    <xf numFmtId="164" fontId="7" fillId="0" borderId="2" xfId="0" applyNumberFormat="1" applyFont="1" applyFill="1" applyBorder="1" applyProtection="1"/>
    <xf numFmtId="14" fontId="17" fillId="4" borderId="8" xfId="0" applyNumberFormat="1" applyFont="1" applyFill="1" applyBorder="1" applyAlignment="1" applyProtection="1">
      <alignment horizontal="center"/>
      <protection locked="0"/>
    </xf>
    <xf numFmtId="164" fontId="17" fillId="0" borderId="22" xfId="0" applyNumberFormat="1" applyFont="1" applyFill="1" applyBorder="1" applyProtection="1"/>
    <xf numFmtId="49" fontId="9" fillId="0" borderId="33" xfId="0" applyNumberFormat="1" applyFont="1" applyBorder="1"/>
    <xf numFmtId="164" fontId="9" fillId="0" borderId="36" xfId="0" applyNumberFormat="1" applyFont="1" applyFill="1" applyBorder="1"/>
    <xf numFmtId="164" fontId="9" fillId="0" borderId="36" xfId="0" applyNumberFormat="1" applyFont="1" applyFill="1" applyBorder="1" applyAlignment="1" applyProtection="1">
      <alignment horizontal="center"/>
    </xf>
    <xf numFmtId="164" fontId="9" fillId="0" borderId="37" xfId="0" applyNumberFormat="1" applyFont="1" applyFill="1" applyBorder="1" applyAlignment="1" applyProtection="1">
      <alignment horizontal="center"/>
    </xf>
    <xf numFmtId="164" fontId="17" fillId="0" borderId="8" xfId="0" applyNumberFormat="1" applyFont="1" applyFill="1" applyBorder="1" applyAlignment="1" applyProtection="1">
      <alignment horizontal="center"/>
      <protection locked="0"/>
    </xf>
    <xf numFmtId="164" fontId="7" fillId="0" borderId="8" xfId="0" applyNumberFormat="1" applyFont="1" applyFill="1" applyBorder="1" applyProtection="1"/>
    <xf numFmtId="164" fontId="9" fillId="0" borderId="8" xfId="0" applyNumberFormat="1" applyFont="1" applyFill="1" applyBorder="1" applyProtection="1"/>
    <xf numFmtId="164" fontId="17" fillId="0" borderId="8" xfId="0" applyNumberFormat="1" applyFont="1" applyFill="1" applyBorder="1" applyProtection="1">
      <protection locked="0"/>
    </xf>
    <xf numFmtId="49" fontId="17" fillId="0" borderId="3" xfId="0" applyNumberFormat="1" applyFont="1" applyBorder="1"/>
    <xf numFmtId="164" fontId="15" fillId="6" borderId="1" xfId="0" applyNumberFormat="1" applyFont="1" applyFill="1" applyBorder="1" applyProtection="1">
      <protection hidden="1"/>
    </xf>
    <xf numFmtId="164" fontId="15" fillId="6" borderId="11" xfId="0" applyNumberFormat="1" applyFont="1" applyFill="1" applyBorder="1" applyProtection="1">
      <protection hidden="1"/>
    </xf>
    <xf numFmtId="164" fontId="15" fillId="6" borderId="38" xfId="0" applyNumberFormat="1" applyFont="1" applyFill="1" applyBorder="1" applyProtection="1">
      <protection hidden="1"/>
    </xf>
    <xf numFmtId="164" fontId="15" fillId="6" borderId="39" xfId="0" applyNumberFormat="1" applyFont="1" applyFill="1" applyBorder="1" applyProtection="1">
      <protection hidden="1"/>
    </xf>
    <xf numFmtId="164" fontId="17" fillId="5" borderId="2" xfId="0" applyNumberFormat="1" applyFont="1" applyFill="1" applyBorder="1" applyProtection="1">
      <protection hidden="1"/>
    </xf>
    <xf numFmtId="164" fontId="17" fillId="5" borderId="29" xfId="0" applyNumberFormat="1" applyFont="1" applyFill="1" applyBorder="1" applyProtection="1">
      <protection hidden="1"/>
    </xf>
    <xf numFmtId="164" fontId="17" fillId="0" borderId="29" xfId="0" applyNumberFormat="1" applyFont="1" applyFill="1" applyBorder="1" applyProtection="1">
      <protection hidden="1"/>
    </xf>
    <xf numFmtId="164" fontId="17" fillId="0" borderId="31" xfId="0" applyNumberFormat="1" applyFont="1" applyFill="1" applyBorder="1" applyProtection="1">
      <protection hidden="1"/>
    </xf>
    <xf numFmtId="164" fontId="17" fillId="5" borderId="12" xfId="0" applyNumberFormat="1" applyFont="1" applyFill="1" applyBorder="1" applyProtection="1">
      <protection hidden="1"/>
    </xf>
    <xf numFmtId="164" fontId="17" fillId="5" borderId="38" xfId="0" applyNumberFormat="1" applyFont="1" applyFill="1" applyBorder="1" applyProtection="1">
      <protection hidden="1"/>
    </xf>
    <xf numFmtId="164" fontId="17" fillId="0" borderId="36" xfId="0" applyNumberFormat="1" applyFont="1" applyFill="1" applyBorder="1" applyProtection="1">
      <protection hidden="1"/>
    </xf>
    <xf numFmtId="164" fontId="17" fillId="0" borderId="37" xfId="0" applyNumberFormat="1" applyFont="1" applyFill="1" applyBorder="1" applyProtection="1">
      <protection hidden="1"/>
    </xf>
    <xf numFmtId="164" fontId="17" fillId="5" borderId="9" xfId="0" applyNumberFormat="1" applyFont="1" applyFill="1" applyBorder="1" applyProtection="1">
      <protection hidden="1"/>
    </xf>
    <xf numFmtId="164" fontId="17" fillId="0" borderId="9" xfId="0" applyNumberFormat="1" applyFont="1" applyFill="1" applyBorder="1" applyProtection="1">
      <protection hidden="1"/>
    </xf>
    <xf numFmtId="164" fontId="17" fillId="0" borderId="10" xfId="0" applyNumberFormat="1" applyFont="1" applyFill="1" applyBorder="1" applyProtection="1">
      <protection hidden="1"/>
    </xf>
    <xf numFmtId="164" fontId="17" fillId="0" borderId="2" xfId="0" applyNumberFormat="1" applyFont="1" applyBorder="1" applyProtection="1">
      <protection hidden="1"/>
    </xf>
    <xf numFmtId="164" fontId="17" fillId="0" borderId="8" xfId="0" applyNumberFormat="1" applyFont="1" applyBorder="1" applyProtection="1">
      <protection hidden="1"/>
    </xf>
    <xf numFmtId="164" fontId="17" fillId="5" borderId="6" xfId="0" applyNumberFormat="1" applyFont="1" applyFill="1" applyBorder="1" applyProtection="1">
      <protection hidden="1"/>
    </xf>
    <xf numFmtId="164" fontId="17" fillId="0" borderId="7" xfId="0" applyNumberFormat="1" applyFont="1" applyFill="1" applyBorder="1" applyProtection="1">
      <protection hidden="1"/>
    </xf>
    <xf numFmtId="164" fontId="17" fillId="0" borderId="22" xfId="0" applyNumberFormat="1" applyFont="1" applyFill="1" applyBorder="1" applyProtection="1">
      <protection hidden="1"/>
    </xf>
    <xf numFmtId="1" fontId="6" fillId="5" borderId="2" xfId="0" applyNumberFormat="1" applyFont="1" applyFill="1" applyBorder="1" applyAlignment="1" applyProtection="1">
      <alignment horizontal="center"/>
      <protection hidden="1"/>
    </xf>
    <xf numFmtId="49" fontId="17" fillId="0" borderId="2" xfId="0" applyNumberFormat="1" applyFont="1" applyFill="1" applyBorder="1" applyAlignment="1" applyProtection="1">
      <alignment horizontal="center"/>
      <protection hidden="1"/>
    </xf>
    <xf numFmtId="49" fontId="17" fillId="0" borderId="8" xfId="0" applyNumberFormat="1" applyFont="1" applyFill="1" applyBorder="1" applyAlignment="1" applyProtection="1">
      <alignment horizontal="center"/>
      <protection hidden="1"/>
    </xf>
    <xf numFmtId="1" fontId="6" fillId="0" borderId="2" xfId="0" applyNumberFormat="1" applyFont="1" applyFill="1" applyBorder="1" applyAlignment="1" applyProtection="1">
      <alignment horizontal="center"/>
      <protection hidden="1"/>
    </xf>
    <xf numFmtId="0" fontId="17" fillId="0" borderId="2" xfId="0" applyFont="1" applyFill="1" applyBorder="1" applyAlignment="1" applyProtection="1">
      <alignment horizontal="center"/>
      <protection hidden="1"/>
    </xf>
    <xf numFmtId="0" fontId="17" fillId="0" borderId="8" xfId="0" applyFont="1" applyFill="1" applyBorder="1" applyAlignment="1" applyProtection="1">
      <alignment horizontal="center"/>
      <protection hidden="1"/>
    </xf>
    <xf numFmtId="0" fontId="17" fillId="0" borderId="2" xfId="0" applyFont="1" applyBorder="1" applyProtection="1">
      <protection hidden="1"/>
    </xf>
    <xf numFmtId="1" fontId="17" fillId="0" borderId="2" xfId="0" applyNumberFormat="1" applyFont="1" applyFill="1" applyBorder="1" applyAlignment="1" applyProtection="1">
      <alignment horizontal="center"/>
      <protection hidden="1"/>
    </xf>
    <xf numFmtId="0" fontId="17" fillId="0" borderId="1" xfId="0" applyFont="1" applyBorder="1" applyProtection="1">
      <protection hidden="1"/>
    </xf>
    <xf numFmtId="164" fontId="29" fillId="0" borderId="2" xfId="0" applyNumberFormat="1" applyFont="1" applyFill="1" applyBorder="1" applyProtection="1">
      <protection hidden="1"/>
    </xf>
    <xf numFmtId="1" fontId="17" fillId="0" borderId="8" xfId="0" applyNumberFormat="1" applyFont="1" applyFill="1" applyBorder="1" applyAlignment="1" applyProtection="1">
      <alignment horizontal="center"/>
      <protection hidden="1"/>
    </xf>
    <xf numFmtId="0" fontId="17" fillId="0" borderId="29" xfId="0" applyFont="1" applyBorder="1" applyProtection="1">
      <protection hidden="1"/>
    </xf>
    <xf numFmtId="164" fontId="17" fillId="0" borderId="29" xfId="0" applyNumberFormat="1" applyFont="1" applyBorder="1" applyProtection="1">
      <protection hidden="1"/>
    </xf>
    <xf numFmtId="164" fontId="17" fillId="0" borderId="31" xfId="0" applyNumberFormat="1" applyFont="1" applyBorder="1" applyProtection="1">
      <protection hidden="1"/>
    </xf>
    <xf numFmtId="0" fontId="17" fillId="0" borderId="6" xfId="0" applyFont="1" applyFill="1" applyBorder="1" applyProtection="1">
      <protection hidden="1"/>
    </xf>
    <xf numFmtId="0" fontId="17" fillId="0" borderId="0" xfId="0" applyFont="1" applyBorder="1" applyProtection="1">
      <protection hidden="1"/>
    </xf>
    <xf numFmtId="164" fontId="17" fillId="0" borderId="0" xfId="0" applyNumberFormat="1" applyFont="1" applyBorder="1" applyProtection="1">
      <protection hidden="1"/>
    </xf>
    <xf numFmtId="164" fontId="17" fillId="0" borderId="28" xfId="0" applyNumberFormat="1" applyFont="1" applyBorder="1" applyProtection="1">
      <protection hidden="1"/>
    </xf>
    <xf numFmtId="10" fontId="17" fillId="0" borderId="2" xfId="0" applyNumberFormat="1" applyFont="1" applyFill="1" applyBorder="1" applyProtection="1">
      <protection hidden="1"/>
    </xf>
    <xf numFmtId="10" fontId="17" fillId="0" borderId="8" xfId="0" applyNumberFormat="1" applyFont="1" applyFill="1" applyBorder="1" applyProtection="1">
      <protection hidden="1"/>
    </xf>
    <xf numFmtId="164" fontId="17" fillId="5" borderId="0" xfId="0" applyNumberFormat="1" applyFont="1" applyFill="1" applyBorder="1" applyProtection="1">
      <protection hidden="1"/>
    </xf>
    <xf numFmtId="0" fontId="17" fillId="5" borderId="6" xfId="0" applyFont="1" applyFill="1" applyBorder="1" applyProtection="1">
      <protection hidden="1"/>
    </xf>
    <xf numFmtId="164" fontId="17" fillId="0" borderId="6" xfId="1" applyNumberFormat="1" applyFont="1" applyBorder="1" applyProtection="1">
      <protection hidden="1"/>
    </xf>
    <xf numFmtId="0" fontId="17" fillId="0" borderId="6" xfId="0" applyFont="1" applyBorder="1" applyProtection="1">
      <protection hidden="1"/>
    </xf>
    <xf numFmtId="0" fontId="17" fillId="0" borderId="25" xfId="0" applyFont="1" applyBorder="1" applyProtection="1">
      <protection hidden="1"/>
    </xf>
    <xf numFmtId="0" fontId="17" fillId="0" borderId="2" xfId="0" applyFont="1" applyFill="1" applyBorder="1" applyProtection="1">
      <protection hidden="1"/>
    </xf>
    <xf numFmtId="0" fontId="17" fillId="0" borderId="8" xfId="0" applyFont="1" applyFill="1" applyBorder="1" applyProtection="1">
      <protection hidden="1"/>
    </xf>
    <xf numFmtId="0" fontId="17" fillId="0" borderId="0" xfId="0" applyFont="1" applyFill="1" applyBorder="1" applyProtection="1">
      <protection hidden="1"/>
    </xf>
    <xf numFmtId="0" fontId="17" fillId="0" borderId="28" xfId="0" applyFont="1" applyFill="1" applyBorder="1" applyProtection="1">
      <protection hidden="1"/>
    </xf>
    <xf numFmtId="164" fontId="17" fillId="5" borderId="25" xfId="0" applyNumberFormat="1" applyFont="1" applyFill="1" applyBorder="1" applyProtection="1">
      <protection hidden="1"/>
    </xf>
    <xf numFmtId="0" fontId="7" fillId="0" borderId="0" xfId="0" applyFont="1" applyFill="1" applyBorder="1" applyProtection="1">
      <protection hidden="1"/>
    </xf>
    <xf numFmtId="164" fontId="7" fillId="0" borderId="0" xfId="0" applyNumberFormat="1" applyFont="1" applyFill="1" applyBorder="1" applyProtection="1">
      <protection hidden="1"/>
    </xf>
    <xf numFmtId="0" fontId="5" fillId="3" borderId="16" xfId="0" applyFont="1" applyFill="1" applyBorder="1" applyProtection="1">
      <protection hidden="1"/>
    </xf>
    <xf numFmtId="49" fontId="6" fillId="0" borderId="5" xfId="0" applyNumberFormat="1" applyFont="1" applyBorder="1"/>
    <xf numFmtId="49" fontId="17" fillId="0" borderId="5" xfId="0" applyNumberFormat="1" applyFont="1" applyFill="1" applyBorder="1" applyProtection="1">
      <protection locked="0"/>
    </xf>
    <xf numFmtId="164" fontId="13" fillId="0" borderId="0" xfId="0" applyNumberFormat="1" applyFont="1" applyFill="1" applyBorder="1" applyProtection="1">
      <protection hidden="1"/>
    </xf>
    <xf numFmtId="0" fontId="15" fillId="0" borderId="0" xfId="0" applyFont="1" applyFill="1" applyBorder="1" applyProtection="1">
      <protection hidden="1"/>
    </xf>
    <xf numFmtId="164" fontId="15" fillId="0" borderId="0" xfId="0" applyNumberFormat="1" applyFont="1" applyFill="1" applyBorder="1" applyProtection="1">
      <protection hidden="1"/>
    </xf>
    <xf numFmtId="14" fontId="6" fillId="0" borderId="17" xfId="0" applyNumberFormat="1" applyFont="1" applyFill="1" applyBorder="1" applyProtection="1">
      <protection hidden="1"/>
    </xf>
    <xf numFmtId="14" fontId="6" fillId="0" borderId="17" xfId="0" applyNumberFormat="1" applyFont="1" applyBorder="1" applyProtection="1">
      <protection hidden="1"/>
    </xf>
    <xf numFmtId="14" fontId="17" fillId="0" borderId="17" xfId="0" applyNumberFormat="1" applyFont="1" applyBorder="1" applyProtection="1">
      <protection hidden="1"/>
    </xf>
    <xf numFmtId="0" fontId="10" fillId="5" borderId="2" xfId="0" applyFont="1" applyFill="1" applyBorder="1" applyAlignment="1" applyProtection="1">
      <alignment horizontal="center"/>
      <protection hidden="1"/>
    </xf>
    <xf numFmtId="0" fontId="10" fillId="5" borderId="8" xfId="0" applyFont="1" applyFill="1" applyBorder="1" applyAlignment="1" applyProtection="1">
      <alignment horizontal="center"/>
      <protection hidden="1"/>
    </xf>
    <xf numFmtId="0" fontId="5" fillId="6" borderId="40" xfId="0" applyFont="1" applyFill="1" applyBorder="1" applyProtection="1">
      <protection hidden="1"/>
    </xf>
    <xf numFmtId="0" fontId="5" fillId="6" borderId="3" xfId="0" applyFont="1" applyFill="1" applyBorder="1" applyProtection="1">
      <protection hidden="1"/>
    </xf>
    <xf numFmtId="0" fontId="23" fillId="7" borderId="19" xfId="0" applyFont="1" applyFill="1" applyBorder="1" applyProtection="1">
      <protection hidden="1"/>
    </xf>
    <xf numFmtId="0" fontId="35" fillId="7" borderId="19" xfId="0" applyFont="1" applyFill="1" applyBorder="1" applyAlignment="1" applyProtection="1">
      <alignment horizontal="left" vertical="center"/>
      <protection hidden="1"/>
    </xf>
    <xf numFmtId="0" fontId="9" fillId="0" borderId="1" xfId="0" applyFont="1" applyFill="1" applyBorder="1" applyAlignment="1" applyProtection="1">
      <alignment horizontal="center"/>
      <protection hidden="1"/>
    </xf>
    <xf numFmtId="0" fontId="9" fillId="0" borderId="11" xfId="0" applyFont="1" applyFill="1" applyBorder="1" applyAlignment="1" applyProtection="1">
      <alignment horizontal="center"/>
      <protection hidden="1"/>
    </xf>
    <xf numFmtId="0" fontId="17" fillId="4" borderId="2" xfId="0" applyFont="1" applyFill="1" applyBorder="1" applyAlignment="1" applyProtection="1">
      <alignment horizontal="center"/>
      <protection locked="0"/>
    </xf>
    <xf numFmtId="0" fontId="17" fillId="5" borderId="2" xfId="0" applyFont="1" applyFill="1" applyBorder="1" applyAlignment="1">
      <alignment horizontal="center"/>
    </xf>
    <xf numFmtId="0" fontId="17" fillId="5" borderId="8" xfId="0" applyFont="1" applyFill="1" applyBorder="1" applyAlignment="1">
      <alignment horizontal="center"/>
    </xf>
    <xf numFmtId="0" fontId="17" fillId="5" borderId="7" xfId="0" applyFont="1" applyFill="1" applyBorder="1" applyAlignment="1">
      <alignment horizontal="center"/>
    </xf>
    <xf numFmtId="0" fontId="17" fillId="5" borderId="22" xfId="0" applyFont="1" applyFill="1" applyBorder="1" applyAlignment="1">
      <alignment horizontal="center"/>
    </xf>
    <xf numFmtId="164" fontId="17" fillId="5" borderId="9" xfId="0" applyNumberFormat="1" applyFont="1" applyFill="1" applyBorder="1" applyAlignment="1" applyProtection="1">
      <alignment horizontal="center"/>
    </xf>
    <xf numFmtId="164" fontId="17" fillId="5" borderId="10" xfId="0" applyNumberFormat="1" applyFont="1" applyFill="1" applyBorder="1" applyAlignment="1" applyProtection="1">
      <alignment horizontal="center"/>
    </xf>
    <xf numFmtId="1" fontId="29" fillId="0" borderId="2" xfId="0" applyNumberFormat="1" applyFont="1" applyFill="1" applyBorder="1" applyAlignment="1" applyProtection="1">
      <alignment horizontal="center"/>
      <protection hidden="1"/>
    </xf>
    <xf numFmtId="1" fontId="6" fillId="0" borderId="2" xfId="0" applyNumberFormat="1" applyFont="1" applyFill="1" applyBorder="1" applyAlignment="1" applyProtection="1">
      <alignment horizontal="center"/>
    </xf>
    <xf numFmtId="0" fontId="38" fillId="0" borderId="0" xfId="0" applyFont="1" applyBorder="1" applyAlignment="1">
      <alignment horizontal="left"/>
    </xf>
    <xf numFmtId="0" fontId="40" fillId="0" borderId="0" xfId="0" applyFont="1" applyAlignment="1">
      <alignment horizontal="center"/>
    </xf>
    <xf numFmtId="0" fontId="6" fillId="0" borderId="4" xfId="0" applyFont="1" applyBorder="1" applyProtection="1">
      <protection hidden="1"/>
    </xf>
    <xf numFmtId="0" fontId="17" fillId="0" borderId="0" xfId="0" applyFont="1" applyFill="1"/>
    <xf numFmtId="164" fontId="10" fillId="0" borderId="2" xfId="0" applyNumberFormat="1" applyFont="1" applyFill="1" applyBorder="1" applyAlignment="1">
      <alignment horizontal="center"/>
    </xf>
    <xf numFmtId="164" fontId="9" fillId="0" borderId="0" xfId="0" applyNumberFormat="1" applyFont="1"/>
    <xf numFmtId="14" fontId="9" fillId="0" borderId="0" xfId="0" applyNumberFormat="1" applyFont="1"/>
    <xf numFmtId="164" fontId="9" fillId="0" borderId="0" xfId="0" applyNumberFormat="1" applyFont="1" applyFill="1" applyBorder="1"/>
    <xf numFmtId="164" fontId="10" fillId="0" borderId="0" xfId="0" applyNumberFormat="1" applyFont="1"/>
    <xf numFmtId="0" fontId="9" fillId="0" borderId="0" xfId="0" applyFont="1" applyAlignment="1">
      <alignment horizontal="center"/>
    </xf>
    <xf numFmtId="3" fontId="17" fillId="0" borderId="0" xfId="0" applyNumberFormat="1" applyFont="1" applyAlignment="1">
      <alignment horizontal="center"/>
    </xf>
    <xf numFmtId="164" fontId="6" fillId="0" borderId="0" xfId="0" applyNumberFormat="1" applyFont="1" applyAlignment="1">
      <alignment horizontal="right"/>
    </xf>
    <xf numFmtId="3" fontId="17" fillId="0" borderId="35" xfId="0" applyNumberFormat="1" applyFont="1" applyFill="1" applyBorder="1" applyAlignment="1" applyProtection="1">
      <alignment horizontal="center"/>
    </xf>
    <xf numFmtId="0" fontId="7" fillId="0" borderId="17" xfId="0" applyFont="1" applyBorder="1" applyProtection="1">
      <protection hidden="1"/>
    </xf>
    <xf numFmtId="1" fontId="7" fillId="0" borderId="17" xfId="0" applyNumberFormat="1" applyFont="1" applyFill="1" applyBorder="1" applyAlignment="1" applyProtection="1">
      <alignment horizontal="center"/>
      <protection hidden="1"/>
    </xf>
    <xf numFmtId="0" fontId="7" fillId="0" borderId="32" xfId="0" applyNumberFormat="1" applyFont="1" applyFill="1" applyBorder="1" applyProtection="1">
      <protection hidden="1"/>
    </xf>
    <xf numFmtId="0" fontId="17" fillId="0" borderId="35" xfId="0" applyFont="1" applyFill="1" applyBorder="1" applyAlignment="1" applyProtection="1">
      <alignment horizontal="center"/>
    </xf>
    <xf numFmtId="164" fontId="29" fillId="0" borderId="35" xfId="0" applyNumberFormat="1" applyFont="1" applyFill="1" applyBorder="1" applyProtection="1"/>
    <xf numFmtId="0" fontId="9" fillId="0" borderId="13" xfId="0" applyFont="1" applyBorder="1"/>
    <xf numFmtId="49" fontId="41" fillId="0" borderId="15" xfId="0" applyNumberFormat="1" applyFont="1" applyFill="1" applyBorder="1" applyAlignment="1">
      <alignment horizontal="center"/>
    </xf>
    <xf numFmtId="164" fontId="29" fillId="0" borderId="16" xfId="0" applyNumberFormat="1" applyFont="1" applyBorder="1"/>
    <xf numFmtId="0" fontId="17" fillId="0" borderId="11" xfId="0" applyFont="1" applyBorder="1" applyAlignment="1">
      <alignment horizontal="center"/>
    </xf>
    <xf numFmtId="1" fontId="17" fillId="0" borderId="5" xfId="0" applyNumberFormat="1" applyFont="1" applyBorder="1"/>
    <xf numFmtId="0" fontId="17" fillId="0" borderId="3" xfId="0" applyFont="1" applyBorder="1" applyAlignment="1">
      <alignment horizontal="center"/>
    </xf>
    <xf numFmtId="164" fontId="17" fillId="0" borderId="41" xfId="0" applyNumberFormat="1" applyFont="1" applyFill="1" applyBorder="1" applyProtection="1"/>
    <xf numFmtId="164" fontId="17" fillId="0" borderId="35" xfId="0" applyNumberFormat="1" applyFont="1" applyFill="1" applyBorder="1" applyProtection="1"/>
    <xf numFmtId="49" fontId="41" fillId="0" borderId="14" xfId="0" applyNumberFormat="1" applyFont="1" applyFill="1" applyBorder="1" applyAlignment="1">
      <alignment horizontal="center"/>
    </xf>
    <xf numFmtId="164" fontId="17" fillId="0" borderId="42" xfId="0" applyNumberFormat="1" applyFont="1" applyFill="1" applyBorder="1" applyProtection="1"/>
    <xf numFmtId="0" fontId="9" fillId="0" borderId="17" xfId="0" applyFont="1" applyBorder="1"/>
    <xf numFmtId="0" fontId="17" fillId="0" borderId="43" xfId="0" applyFont="1" applyBorder="1" applyAlignment="1">
      <alignment horizontal="center"/>
    </xf>
    <xf numFmtId="0" fontId="0" fillId="0" borderId="15" xfId="0" applyBorder="1" applyAlignment="1">
      <alignment horizontal="right"/>
    </xf>
    <xf numFmtId="0" fontId="17" fillId="0" borderId="16" xfId="0" applyFont="1" applyBorder="1" applyAlignment="1">
      <alignment horizontal="center"/>
    </xf>
    <xf numFmtId="0" fontId="17" fillId="0" borderId="17" xfId="0" applyFont="1" applyBorder="1" applyAlignment="1">
      <alignment horizontal="center"/>
    </xf>
    <xf numFmtId="1" fontId="17" fillId="0" borderId="44" xfId="0" applyNumberFormat="1" applyFont="1" applyBorder="1"/>
    <xf numFmtId="0" fontId="9" fillId="0" borderId="36" xfId="0" applyFont="1" applyBorder="1"/>
    <xf numFmtId="0" fontId="17" fillId="0" borderId="33" xfId="0" applyFont="1" applyBorder="1" applyAlignment="1">
      <alignment horizontal="center"/>
    </xf>
    <xf numFmtId="0" fontId="17" fillId="0" borderId="37" xfId="0" applyFont="1" applyBorder="1" applyAlignment="1">
      <alignment horizontal="center"/>
    </xf>
    <xf numFmtId="1" fontId="17" fillId="0" borderId="45" xfId="0" applyNumberFormat="1" applyFont="1" applyBorder="1"/>
    <xf numFmtId="164" fontId="17" fillId="0" borderId="17" xfId="0" applyNumberFormat="1" applyFont="1" applyFill="1" applyBorder="1" applyProtection="1"/>
    <xf numFmtId="164" fontId="10" fillId="0" borderId="0" xfId="0" applyNumberFormat="1" applyFont="1" applyAlignment="1">
      <alignment horizontal="right"/>
    </xf>
    <xf numFmtId="164" fontId="9" fillId="0" borderId="0" xfId="0" applyNumberFormat="1" applyFont="1" applyAlignment="1">
      <alignment horizontal="right"/>
    </xf>
    <xf numFmtId="0" fontId="17" fillId="0" borderId="44" xfId="0" applyFont="1" applyBorder="1"/>
    <xf numFmtId="0" fontId="17" fillId="0" borderId="45" xfId="0" applyFont="1" applyBorder="1" applyAlignment="1">
      <alignment horizontal="center"/>
    </xf>
    <xf numFmtId="164" fontId="10" fillId="0" borderId="0" xfId="0" applyNumberFormat="1" applyFont="1" applyFill="1" applyBorder="1"/>
    <xf numFmtId="14" fontId="42" fillId="0" borderId="0" xfId="0" applyNumberFormat="1" applyFont="1"/>
    <xf numFmtId="14" fontId="7" fillId="0" borderId="0" xfId="0" applyNumberFormat="1" applyFont="1"/>
    <xf numFmtId="0" fontId="7" fillId="0" borderId="0" xfId="0" applyFont="1"/>
    <xf numFmtId="0" fontId="9" fillId="11" borderId="0" xfId="0" applyFont="1" applyFill="1" applyAlignment="1">
      <alignment horizontal="center"/>
    </xf>
    <xf numFmtId="164" fontId="10" fillId="5" borderId="8" xfId="0" applyNumberFormat="1" applyFont="1" applyFill="1" applyBorder="1" applyProtection="1">
      <protection hidden="1"/>
    </xf>
    <xf numFmtId="0" fontId="17" fillId="12" borderId="4" xfId="0" applyFont="1" applyFill="1" applyBorder="1"/>
    <xf numFmtId="0" fontId="9" fillId="0" borderId="5" xfId="0" applyNumberFormat="1" applyFont="1" applyBorder="1" applyProtection="1">
      <protection hidden="1"/>
    </xf>
    <xf numFmtId="0" fontId="9" fillId="0" borderId="5" xfId="0" applyNumberFormat="1" applyFont="1" applyFill="1" applyBorder="1" applyProtection="1">
      <protection hidden="1"/>
    </xf>
    <xf numFmtId="0" fontId="39" fillId="0" borderId="5" xfId="0" applyNumberFormat="1" applyFont="1" applyFill="1" applyBorder="1" applyProtection="1">
      <protection hidden="1"/>
    </xf>
    <xf numFmtId="0" fontId="9" fillId="0" borderId="23" xfId="0" applyNumberFormat="1" applyFont="1" applyBorder="1" applyProtection="1">
      <protection hidden="1"/>
    </xf>
    <xf numFmtId="0" fontId="17" fillId="0" borderId="5" xfId="0" applyNumberFormat="1" applyFont="1" applyBorder="1" applyProtection="1">
      <protection hidden="1"/>
    </xf>
    <xf numFmtId="0" fontId="9" fillId="0" borderId="30" xfId="0" applyNumberFormat="1" applyFont="1" applyBorder="1" applyProtection="1">
      <protection hidden="1"/>
    </xf>
    <xf numFmtId="0" fontId="9" fillId="0" borderId="4" xfId="0" applyNumberFormat="1" applyFont="1" applyBorder="1" applyProtection="1">
      <protection hidden="1"/>
    </xf>
    <xf numFmtId="0" fontId="9" fillId="0" borderId="21" xfId="0" applyNumberFormat="1" applyFont="1" applyFill="1" applyBorder="1" applyProtection="1">
      <protection hidden="1"/>
    </xf>
    <xf numFmtId="0" fontId="9" fillId="0" borderId="30" xfId="0" applyNumberFormat="1" applyFont="1" applyFill="1" applyBorder="1" applyProtection="1">
      <protection hidden="1"/>
    </xf>
    <xf numFmtId="164" fontId="17" fillId="4" borderId="2" xfId="0" applyNumberFormat="1" applyFont="1" applyFill="1" applyBorder="1" applyProtection="1">
      <protection locked="0" hidden="1"/>
    </xf>
    <xf numFmtId="0" fontId="27" fillId="13" borderId="21" xfId="0" applyFont="1" applyFill="1" applyBorder="1" applyProtection="1">
      <protection hidden="1"/>
    </xf>
    <xf numFmtId="164" fontId="17" fillId="0" borderId="12" xfId="0" applyNumberFormat="1" applyFont="1" applyFill="1" applyBorder="1" applyProtection="1">
      <protection locked="0"/>
    </xf>
    <xf numFmtId="164" fontId="17" fillId="0" borderId="27" xfId="0" applyNumberFormat="1" applyFont="1" applyFill="1" applyBorder="1" applyProtection="1">
      <protection locked="0"/>
    </xf>
    <xf numFmtId="0" fontId="17" fillId="0" borderId="26" xfId="0" applyFont="1" applyFill="1" applyBorder="1" applyProtection="1">
      <protection locked="0"/>
    </xf>
    <xf numFmtId="0" fontId="6" fillId="0" borderId="4" xfId="0" applyFont="1" applyBorder="1"/>
    <xf numFmtId="164" fontId="17" fillId="4" borderId="8" xfId="0" applyNumberFormat="1" applyFont="1" applyFill="1" applyBorder="1" applyProtection="1">
      <protection locked="0" hidden="1"/>
    </xf>
    <xf numFmtId="164" fontId="9" fillId="0" borderId="0" xfId="0" applyNumberFormat="1" applyFont="1" applyFill="1" applyProtection="1">
      <protection hidden="1"/>
    </xf>
    <xf numFmtId="0" fontId="10" fillId="0" borderId="26" xfId="0" applyNumberFormat="1" applyFont="1" applyFill="1" applyBorder="1" applyProtection="1">
      <protection hidden="1"/>
    </xf>
    <xf numFmtId="164" fontId="5" fillId="14" borderId="46" xfId="0" applyNumberFormat="1" applyFont="1" applyFill="1" applyBorder="1" applyProtection="1">
      <protection hidden="1"/>
    </xf>
    <xf numFmtId="8" fontId="5" fillId="3" borderId="36" xfId="0" applyNumberFormat="1" applyFont="1" applyFill="1" applyBorder="1" applyProtection="1">
      <protection hidden="1"/>
    </xf>
    <xf numFmtId="8" fontId="5" fillId="3" borderId="37" xfId="0" applyNumberFormat="1" applyFont="1" applyFill="1" applyBorder="1" applyProtection="1">
      <protection hidden="1"/>
    </xf>
    <xf numFmtId="8" fontId="17" fillId="0" borderId="2" xfId="0" applyNumberFormat="1" applyFont="1" applyFill="1" applyBorder="1" applyProtection="1">
      <protection hidden="1"/>
    </xf>
    <xf numFmtId="164" fontId="43" fillId="5" borderId="2" xfId="0" applyNumberFormat="1" applyFont="1" applyFill="1" applyBorder="1" applyProtection="1">
      <protection hidden="1"/>
    </xf>
    <xf numFmtId="0" fontId="34" fillId="0" borderId="5" xfId="0" applyFont="1" applyFill="1" applyBorder="1" applyProtection="1">
      <protection hidden="1"/>
    </xf>
    <xf numFmtId="8" fontId="17" fillId="0" borderId="8" xfId="0" applyNumberFormat="1" applyFont="1" applyFill="1" applyBorder="1" applyProtection="1">
      <protection hidden="1"/>
    </xf>
    <xf numFmtId="164" fontId="43" fillId="5" borderId="29" xfId="0" applyNumberFormat="1" applyFont="1" applyFill="1" applyBorder="1" applyProtection="1">
      <protection hidden="1"/>
    </xf>
    <xf numFmtId="0" fontId="17" fillId="0" borderId="8" xfId="0" applyFont="1" applyBorder="1" applyProtection="1">
      <protection hidden="1"/>
    </xf>
    <xf numFmtId="0" fontId="10" fillId="0" borderId="21" xfId="0" applyFont="1" applyBorder="1" applyProtection="1">
      <protection hidden="1"/>
    </xf>
    <xf numFmtId="164" fontId="17" fillId="0" borderId="47" xfId="0" applyNumberFormat="1" applyFont="1" applyBorder="1" applyProtection="1">
      <protection hidden="1"/>
    </xf>
    <xf numFmtId="164" fontId="17" fillId="0" borderId="48" xfId="0" applyNumberFormat="1" applyFont="1" applyBorder="1" applyProtection="1">
      <protection hidden="1"/>
    </xf>
    <xf numFmtId="164" fontId="17" fillId="0" borderId="47" xfId="0" applyNumberFormat="1" applyFont="1" applyFill="1" applyBorder="1" applyProtection="1">
      <protection hidden="1"/>
    </xf>
    <xf numFmtId="4" fontId="9" fillId="0" borderId="0" xfId="0" applyNumberFormat="1" applyFont="1" applyProtection="1">
      <protection hidden="1"/>
    </xf>
    <xf numFmtId="164" fontId="43" fillId="5" borderId="6" xfId="0" applyNumberFormat="1" applyFont="1" applyFill="1" applyBorder="1" applyProtection="1">
      <protection hidden="1"/>
    </xf>
    <xf numFmtId="164" fontId="43" fillId="5" borderId="12" xfId="0" applyNumberFormat="1" applyFont="1" applyFill="1" applyBorder="1" applyProtection="1">
      <protection hidden="1"/>
    </xf>
    <xf numFmtId="164" fontId="9" fillId="0" borderId="2" xfId="0" applyNumberFormat="1" applyFont="1" applyBorder="1"/>
    <xf numFmtId="164" fontId="9" fillId="0" borderId="8" xfId="0" applyNumberFormat="1" applyFont="1" applyBorder="1"/>
    <xf numFmtId="164" fontId="23" fillId="7" borderId="18" xfId="0" applyNumberFormat="1" applyFont="1" applyFill="1" applyBorder="1" applyProtection="1">
      <protection hidden="1"/>
    </xf>
    <xf numFmtId="164" fontId="7" fillId="7" borderId="19" xfId="0" applyNumberFormat="1" applyFont="1" applyFill="1" applyBorder="1" applyProtection="1">
      <protection hidden="1"/>
    </xf>
    <xf numFmtId="164" fontId="7" fillId="7" borderId="20" xfId="0" applyNumberFormat="1" applyFont="1" applyFill="1" applyBorder="1" applyProtection="1">
      <protection hidden="1"/>
    </xf>
    <xf numFmtId="0" fontId="10" fillId="0" borderId="2" xfId="0" applyFont="1" applyFill="1" applyBorder="1" applyAlignment="1" applyProtection="1">
      <alignment horizontal="center"/>
      <protection hidden="1"/>
    </xf>
    <xf numFmtId="164" fontId="27" fillId="0" borderId="2" xfId="0" applyNumberFormat="1" applyFont="1" applyBorder="1" applyProtection="1">
      <protection hidden="1"/>
    </xf>
    <xf numFmtId="164" fontId="27" fillId="0" borderId="8" xfId="0" applyNumberFormat="1" applyFont="1" applyBorder="1" applyProtection="1">
      <protection hidden="1"/>
    </xf>
    <xf numFmtId="0" fontId="9" fillId="0" borderId="21" xfId="0" applyFont="1" applyBorder="1" applyProtection="1">
      <protection hidden="1"/>
    </xf>
    <xf numFmtId="0" fontId="9" fillId="0" borderId="30" xfId="0" applyFont="1" applyBorder="1" applyProtection="1">
      <protection hidden="1"/>
    </xf>
    <xf numFmtId="164" fontId="27" fillId="0" borderId="49" xfId="0" applyNumberFormat="1" applyFont="1" applyBorder="1" applyProtection="1">
      <protection hidden="1"/>
    </xf>
    <xf numFmtId="164" fontId="27" fillId="0" borderId="50" xfId="0" applyNumberFormat="1" applyFont="1" applyBorder="1" applyProtection="1">
      <protection hidden="1"/>
    </xf>
    <xf numFmtId="164" fontId="27" fillId="0" borderId="0" xfId="0" applyNumberFormat="1" applyFont="1" applyFill="1" applyBorder="1" applyProtection="1">
      <protection hidden="1"/>
    </xf>
    <xf numFmtId="164" fontId="27" fillId="0" borderId="28" xfId="0" applyNumberFormat="1" applyFont="1" applyFill="1" applyBorder="1" applyProtection="1">
      <protection hidden="1"/>
    </xf>
    <xf numFmtId="0" fontId="15" fillId="9" borderId="3" xfId="0" applyFont="1" applyFill="1" applyBorder="1" applyProtection="1">
      <protection hidden="1"/>
    </xf>
    <xf numFmtId="164" fontId="15" fillId="9" borderId="1" xfId="0" applyNumberFormat="1" applyFont="1" applyFill="1" applyBorder="1" applyProtection="1">
      <protection hidden="1"/>
    </xf>
    <xf numFmtId="164" fontId="15" fillId="9" borderId="11" xfId="0" applyNumberFormat="1" applyFont="1" applyFill="1" applyBorder="1" applyProtection="1">
      <protection hidden="1"/>
    </xf>
    <xf numFmtId="0" fontId="15" fillId="0" borderId="16" xfId="0" applyFont="1" applyFill="1" applyBorder="1" applyProtection="1">
      <protection hidden="1"/>
    </xf>
    <xf numFmtId="164" fontId="27" fillId="0" borderId="7" xfId="0" applyNumberFormat="1" applyFont="1" applyFill="1" applyBorder="1" applyProtection="1">
      <protection hidden="1"/>
    </xf>
    <xf numFmtId="164" fontId="27" fillId="0" borderId="22" xfId="0" applyNumberFormat="1" applyFont="1" applyFill="1" applyBorder="1" applyProtection="1">
      <protection hidden="1"/>
    </xf>
    <xf numFmtId="0" fontId="9" fillId="0" borderId="34" xfId="0" applyFont="1" applyBorder="1" applyProtection="1">
      <protection hidden="1"/>
    </xf>
    <xf numFmtId="164" fontId="17" fillId="5" borderId="1" xfId="0" applyNumberFormat="1" applyFont="1" applyFill="1" applyBorder="1" applyProtection="1">
      <protection hidden="1"/>
    </xf>
    <xf numFmtId="164" fontId="17" fillId="0" borderId="1" xfId="0" applyNumberFormat="1" applyFont="1" applyBorder="1" applyProtection="1">
      <protection hidden="1"/>
    </xf>
    <xf numFmtId="164" fontId="17" fillId="0" borderId="11" xfId="0" applyNumberFormat="1" applyFont="1" applyBorder="1" applyProtection="1">
      <protection hidden="1"/>
    </xf>
    <xf numFmtId="164" fontId="27" fillId="0" borderId="6" xfId="0" applyNumberFormat="1" applyFont="1" applyBorder="1" applyProtection="1">
      <protection hidden="1"/>
    </xf>
    <xf numFmtId="164" fontId="27" fillId="0" borderId="25" xfId="0" applyNumberFormat="1" applyFont="1" applyBorder="1" applyProtection="1">
      <protection hidden="1"/>
    </xf>
    <xf numFmtId="0" fontId="9" fillId="0" borderId="24" xfId="0" applyFont="1" applyBorder="1" applyProtection="1">
      <protection hidden="1"/>
    </xf>
    <xf numFmtId="164" fontId="17" fillId="0" borderId="6" xfId="0" applyNumberFormat="1" applyFont="1" applyBorder="1" applyProtection="1">
      <protection hidden="1"/>
    </xf>
    <xf numFmtId="164" fontId="17" fillId="0" borderId="25" xfId="0" applyNumberFormat="1" applyFont="1" applyBorder="1" applyProtection="1">
      <protection hidden="1"/>
    </xf>
    <xf numFmtId="164" fontId="17" fillId="5" borderId="47" xfId="0" applyNumberFormat="1" applyFont="1" applyFill="1" applyBorder="1" applyProtection="1">
      <protection hidden="1"/>
    </xf>
    <xf numFmtId="164" fontId="27" fillId="0" borderId="29" xfId="0" applyNumberFormat="1" applyFont="1" applyBorder="1" applyProtection="1">
      <protection hidden="1"/>
    </xf>
    <xf numFmtId="164" fontId="27" fillId="0" borderId="31" xfId="0" applyNumberFormat="1" applyFont="1" applyBorder="1" applyProtection="1">
      <protection hidden="1"/>
    </xf>
    <xf numFmtId="164" fontId="27" fillId="0" borderId="12" xfId="0" applyNumberFormat="1" applyFont="1" applyBorder="1" applyProtection="1">
      <protection hidden="1"/>
    </xf>
    <xf numFmtId="164" fontId="27" fillId="0" borderId="27" xfId="0" applyNumberFormat="1" applyFont="1" applyBorder="1" applyProtection="1">
      <protection hidden="1"/>
    </xf>
    <xf numFmtId="0" fontId="15" fillId="9" borderId="40" xfId="0" applyFont="1" applyFill="1" applyBorder="1" applyProtection="1">
      <protection hidden="1"/>
    </xf>
    <xf numFmtId="164" fontId="15" fillId="9" borderId="17" xfId="0" applyNumberFormat="1" applyFont="1" applyFill="1" applyBorder="1" applyProtection="1">
      <protection hidden="1"/>
    </xf>
    <xf numFmtId="164" fontId="15" fillId="9" borderId="38" xfId="0" applyNumberFormat="1" applyFont="1" applyFill="1" applyBorder="1" applyProtection="1">
      <protection hidden="1"/>
    </xf>
    <xf numFmtId="164" fontId="15" fillId="9" borderId="39" xfId="0" applyNumberFormat="1" applyFont="1" applyFill="1" applyBorder="1" applyProtection="1">
      <protection hidden="1"/>
    </xf>
    <xf numFmtId="0" fontId="44" fillId="7" borderId="0" xfId="0" applyFont="1" applyFill="1"/>
    <xf numFmtId="0" fontId="45" fillId="7" borderId="0" xfId="0" applyFont="1" applyFill="1"/>
    <xf numFmtId="0" fontId="46" fillId="7" borderId="0" xfId="0" applyFont="1" applyFill="1"/>
    <xf numFmtId="0" fontId="16" fillId="0" borderId="0" xfId="0" applyFont="1"/>
    <xf numFmtId="0" fontId="47" fillId="0" borderId="0" xfId="0" applyFont="1"/>
    <xf numFmtId="0" fontId="16" fillId="0" borderId="0" xfId="0" applyFont="1" applyFill="1"/>
    <xf numFmtId="14" fontId="37" fillId="0" borderId="0" xfId="0" applyNumberFormat="1" applyFont="1"/>
    <xf numFmtId="164" fontId="44" fillId="7" borderId="2" xfId="0" applyNumberFormat="1" applyFont="1" applyFill="1" applyBorder="1"/>
    <xf numFmtId="0" fontId="46" fillId="7" borderId="2" xfId="0" applyFont="1" applyFill="1" applyBorder="1"/>
    <xf numFmtId="164" fontId="46" fillId="7" borderId="2" xfId="0" applyNumberFormat="1" applyFont="1" applyFill="1" applyBorder="1"/>
    <xf numFmtId="0" fontId="16" fillId="0" borderId="2" xfId="0" applyFont="1" applyBorder="1"/>
    <xf numFmtId="0" fontId="48" fillId="5" borderId="2" xfId="0" applyFont="1" applyFill="1" applyBorder="1"/>
    <xf numFmtId="0" fontId="16" fillId="5" borderId="2" xfId="0" applyFont="1" applyFill="1" applyBorder="1"/>
    <xf numFmtId="0" fontId="16" fillId="0" borderId="2" xfId="0" applyFont="1" applyFill="1" applyBorder="1"/>
    <xf numFmtId="164" fontId="16" fillId="0" borderId="2" xfId="0" applyNumberFormat="1" applyFont="1" applyFill="1" applyBorder="1"/>
    <xf numFmtId="0" fontId="16" fillId="0" borderId="29" xfId="0" applyFont="1" applyBorder="1"/>
    <xf numFmtId="164" fontId="16" fillId="0" borderId="29" xfId="0" applyNumberFormat="1" applyFont="1" applyFill="1" applyBorder="1"/>
    <xf numFmtId="0" fontId="48" fillId="9" borderId="2" xfId="0" applyFont="1" applyFill="1" applyBorder="1"/>
    <xf numFmtId="164" fontId="44" fillId="7" borderId="51" xfId="0" applyNumberFormat="1" applyFont="1" applyFill="1" applyBorder="1"/>
    <xf numFmtId="0" fontId="46" fillId="7" borderId="52" xfId="0" applyFont="1" applyFill="1" applyBorder="1"/>
    <xf numFmtId="164" fontId="46" fillId="7" borderId="52" xfId="0" applyNumberFormat="1" applyFont="1" applyFill="1" applyBorder="1"/>
    <xf numFmtId="164" fontId="46" fillId="7" borderId="53" xfId="0" applyNumberFormat="1" applyFont="1" applyFill="1" applyBorder="1"/>
    <xf numFmtId="0" fontId="16" fillId="0" borderId="29" xfId="0" applyFont="1" applyFill="1" applyBorder="1"/>
    <xf numFmtId="0" fontId="44" fillId="7" borderId="51" xfId="0" applyFont="1" applyFill="1" applyBorder="1"/>
    <xf numFmtId="0" fontId="46" fillId="7" borderId="53" xfId="0" applyFont="1" applyFill="1" applyBorder="1"/>
    <xf numFmtId="0" fontId="48" fillId="2" borderId="2" xfId="0" applyFont="1" applyFill="1" applyBorder="1"/>
    <xf numFmtId="0" fontId="16" fillId="0" borderId="0" xfId="0" applyFont="1" applyFill="1" applyBorder="1"/>
    <xf numFmtId="0" fontId="48" fillId="0" borderId="0" xfId="0" applyFont="1" applyFill="1" applyBorder="1"/>
    <xf numFmtId="164" fontId="16" fillId="5" borderId="2" xfId="0" applyNumberFormat="1" applyFont="1" applyFill="1" applyBorder="1"/>
    <xf numFmtId="0" fontId="5" fillId="15" borderId="40" xfId="0" applyFont="1" applyFill="1" applyBorder="1"/>
    <xf numFmtId="164" fontId="5" fillId="15" borderId="38" xfId="0" applyNumberFormat="1" applyFont="1" applyFill="1" applyBorder="1"/>
    <xf numFmtId="164" fontId="5" fillId="15" borderId="39" xfId="0" applyNumberFormat="1" applyFont="1" applyFill="1" applyBorder="1"/>
    <xf numFmtId="0" fontId="9" fillId="0" borderId="0" xfId="0" applyFont="1" applyFill="1" applyBorder="1"/>
    <xf numFmtId="0" fontId="13" fillId="7" borderId="18" xfId="0" applyFont="1" applyFill="1" applyBorder="1"/>
    <xf numFmtId="0" fontId="7" fillId="7" borderId="19" xfId="0" applyFont="1" applyFill="1" applyBorder="1"/>
    <xf numFmtId="0" fontId="7" fillId="7" borderId="20" xfId="0" applyFont="1" applyFill="1" applyBorder="1"/>
    <xf numFmtId="0" fontId="9" fillId="0" borderId="5" xfId="0" applyFont="1" applyBorder="1"/>
    <xf numFmtId="0" fontId="10" fillId="5" borderId="2" xfId="0" applyFont="1" applyFill="1" applyBorder="1"/>
    <xf numFmtId="0" fontId="9" fillId="5" borderId="2" xfId="0" applyFont="1" applyFill="1" applyBorder="1"/>
    <xf numFmtId="0" fontId="9" fillId="5" borderId="8" xfId="0" applyFont="1" applyFill="1" applyBorder="1"/>
    <xf numFmtId="164" fontId="17" fillId="5" borderId="2" xfId="0" applyNumberFormat="1" applyFont="1" applyFill="1" applyBorder="1"/>
    <xf numFmtId="164" fontId="17" fillId="0" borderId="8" xfId="0" applyNumberFormat="1" applyFont="1" applyBorder="1"/>
    <xf numFmtId="0" fontId="17" fillId="0" borderId="30" xfId="0" applyFont="1" applyBorder="1"/>
    <xf numFmtId="164" fontId="17" fillId="5" borderId="29" xfId="0" applyNumberFormat="1" applyFont="1" applyFill="1" applyBorder="1"/>
    <xf numFmtId="164" fontId="17" fillId="0" borderId="29" xfId="0" applyNumberFormat="1" applyFont="1" applyBorder="1"/>
    <xf numFmtId="164" fontId="17" fillId="0" borderId="31" xfId="0" applyNumberFormat="1" applyFont="1" applyBorder="1"/>
    <xf numFmtId="164" fontId="37" fillId="0" borderId="12" xfId="0" applyNumberFormat="1" applyFont="1" applyFill="1" applyBorder="1"/>
    <xf numFmtId="164" fontId="37" fillId="0" borderId="27" xfId="0" applyNumberFormat="1" applyFont="1" applyFill="1" applyBorder="1"/>
    <xf numFmtId="164" fontId="37" fillId="0" borderId="0" xfId="0" applyNumberFormat="1" applyFont="1" applyFill="1" applyBorder="1"/>
    <xf numFmtId="164" fontId="37" fillId="0" borderId="28" xfId="0" applyNumberFormat="1" applyFont="1" applyFill="1" applyBorder="1"/>
    <xf numFmtId="164" fontId="17" fillId="0" borderId="11" xfId="0" applyNumberFormat="1" applyFont="1" applyFill="1" applyBorder="1"/>
    <xf numFmtId="0" fontId="6" fillId="2" borderId="3" xfId="0" applyFont="1" applyFill="1" applyBorder="1"/>
    <xf numFmtId="164" fontId="6" fillId="2" borderId="1" xfId="0" applyNumberFormat="1" applyFont="1" applyFill="1" applyBorder="1"/>
    <xf numFmtId="164" fontId="6" fillId="2" borderId="11" xfId="0" applyNumberFormat="1" applyFont="1" applyFill="1" applyBorder="1"/>
    <xf numFmtId="164" fontId="17" fillId="0" borderId="28" xfId="0" applyNumberFormat="1" applyFont="1" applyFill="1" applyBorder="1"/>
    <xf numFmtId="0" fontId="6" fillId="2" borderId="33" xfId="0" applyFont="1" applyFill="1" applyBorder="1"/>
    <xf numFmtId="164" fontId="6" fillId="2" borderId="36" xfId="0" applyNumberFormat="1" applyFont="1" applyFill="1" applyBorder="1"/>
    <xf numFmtId="164" fontId="6" fillId="2" borderId="37" xfId="0" applyNumberFormat="1" applyFont="1" applyFill="1" applyBorder="1"/>
    <xf numFmtId="0" fontId="5" fillId="0" borderId="54" xfId="0" applyFont="1" applyBorder="1"/>
    <xf numFmtId="0" fontId="5" fillId="0" borderId="55" xfId="0" applyFont="1" applyBorder="1"/>
    <xf numFmtId="14" fontId="17" fillId="0" borderId="55" xfId="0" applyNumberFormat="1" applyFont="1" applyBorder="1" applyProtection="1">
      <protection hidden="1"/>
    </xf>
    <xf numFmtId="0" fontId="7" fillId="0" borderId="55" xfId="0" applyFont="1" applyBorder="1" applyProtection="1">
      <protection hidden="1"/>
    </xf>
    <xf numFmtId="1" fontId="7" fillId="0" borderId="55" xfId="0" applyNumberFormat="1" applyFont="1" applyFill="1" applyBorder="1" applyAlignment="1" applyProtection="1">
      <alignment horizontal="center"/>
      <protection hidden="1"/>
    </xf>
    <xf numFmtId="0" fontId="7" fillId="0" borderId="42" xfId="0" applyNumberFormat="1" applyFont="1" applyFill="1" applyBorder="1" applyProtection="1">
      <protection hidden="1"/>
    </xf>
    <xf numFmtId="14" fontId="5" fillId="0" borderId="55" xfId="0" applyNumberFormat="1" applyFont="1" applyFill="1" applyBorder="1" applyProtection="1">
      <protection hidden="1"/>
    </xf>
    <xf numFmtId="0" fontId="17" fillId="4" borderId="2" xfId="0" applyNumberFormat="1" applyFont="1" applyFill="1" applyBorder="1" applyAlignment="1" applyProtection="1">
      <alignment horizontal="center"/>
      <protection locked="0"/>
    </xf>
    <xf numFmtId="0" fontId="17" fillId="4" borderId="35" xfId="0" applyNumberFormat="1" applyFont="1" applyFill="1" applyBorder="1" applyAlignment="1" applyProtection="1">
      <alignment horizontal="center"/>
      <protection locked="0"/>
    </xf>
    <xf numFmtId="0" fontId="17" fillId="4" borderId="1" xfId="0" applyNumberFormat="1" applyFont="1" applyFill="1" applyBorder="1" applyAlignment="1" applyProtection="1">
      <alignment horizontal="center"/>
      <protection locked="0"/>
    </xf>
    <xf numFmtId="164" fontId="17" fillId="0" borderId="2" xfId="0" applyNumberFormat="1" applyFont="1" applyFill="1" applyBorder="1" applyAlignment="1" applyProtection="1">
      <alignment horizontal="right"/>
      <protection locked="0"/>
    </xf>
    <xf numFmtId="49" fontId="17" fillId="4" borderId="44" xfId="0" applyNumberFormat="1" applyFont="1" applyFill="1" applyBorder="1" applyProtection="1">
      <protection locked="0"/>
    </xf>
    <xf numFmtId="0" fontId="17" fillId="4" borderId="44" xfId="0" applyNumberFormat="1" applyFont="1" applyFill="1" applyBorder="1" applyProtection="1">
      <protection locked="0"/>
    </xf>
    <xf numFmtId="0" fontId="17" fillId="0" borderId="44" xfId="0" applyFont="1" applyFill="1" applyBorder="1" applyProtection="1">
      <protection locked="0"/>
    </xf>
    <xf numFmtId="0" fontId="17" fillId="4" borderId="44" xfId="0" applyFont="1" applyFill="1" applyBorder="1" applyProtection="1">
      <protection locked="0"/>
    </xf>
    <xf numFmtId="0" fontId="17" fillId="4" borderId="45" xfId="0" applyFont="1" applyFill="1" applyBorder="1" applyProtection="1">
      <protection locked="0"/>
    </xf>
    <xf numFmtId="164" fontId="17" fillId="4" borderId="1" xfId="0" applyNumberFormat="1" applyFont="1" applyFill="1" applyBorder="1" applyAlignment="1" applyProtection="1">
      <alignment horizontal="right"/>
      <protection locked="0"/>
    </xf>
    <xf numFmtId="49" fontId="37" fillId="4" borderId="2" xfId="0" applyNumberFormat="1" applyFont="1" applyFill="1" applyBorder="1" applyAlignment="1" applyProtection="1">
      <alignment horizontal="center"/>
      <protection locked="0"/>
    </xf>
    <xf numFmtId="49" fontId="39" fillId="0" borderId="5" xfId="0" applyNumberFormat="1" applyFont="1" applyFill="1" applyBorder="1" applyProtection="1">
      <protection hidden="1"/>
    </xf>
    <xf numFmtId="4" fontId="9" fillId="0" borderId="0" xfId="0" applyNumberFormat="1" applyFont="1" applyFill="1" applyBorder="1" applyProtection="1">
      <protection hidden="1"/>
    </xf>
    <xf numFmtId="1" fontId="10" fillId="5" borderId="2" xfId="0" applyNumberFormat="1" applyFont="1" applyFill="1" applyBorder="1" applyAlignment="1" applyProtection="1">
      <alignment horizontal="center"/>
      <protection hidden="1"/>
    </xf>
    <xf numFmtId="0" fontId="37" fillId="0" borderId="0" xfId="0" applyNumberFormat="1" applyFont="1" applyFill="1"/>
    <xf numFmtId="164" fontId="13" fillId="7" borderId="13" xfId="0" applyNumberFormat="1" applyFont="1" applyFill="1" applyBorder="1"/>
    <xf numFmtId="164" fontId="7" fillId="7" borderId="14" xfId="0" applyNumberFormat="1" applyFont="1" applyFill="1" applyBorder="1"/>
    <xf numFmtId="164" fontId="7" fillId="7" borderId="15" xfId="0" applyNumberFormat="1" applyFont="1" applyFill="1" applyBorder="1"/>
    <xf numFmtId="0" fontId="9" fillId="7" borderId="14" xfId="0" applyFont="1" applyFill="1" applyBorder="1" applyProtection="1">
      <protection hidden="1"/>
    </xf>
    <xf numFmtId="164" fontId="48" fillId="9" borderId="6" xfId="0" applyNumberFormat="1" applyFont="1" applyFill="1" applyBorder="1"/>
    <xf numFmtId="164" fontId="48" fillId="2" borderId="6" xfId="0" applyNumberFormat="1" applyFont="1" applyFill="1" applyBorder="1"/>
    <xf numFmtId="164" fontId="16" fillId="5" borderId="29" xfId="0" applyNumberFormat="1" applyFont="1" applyFill="1" applyBorder="1"/>
    <xf numFmtId="0" fontId="15" fillId="5" borderId="56" xfId="0" applyFont="1" applyFill="1" applyBorder="1"/>
    <xf numFmtId="8" fontId="15" fillId="5" borderId="57" xfId="0" applyNumberFormat="1" applyFont="1" applyFill="1" applyBorder="1"/>
    <xf numFmtId="8" fontId="15" fillId="5" borderId="58" xfId="0" applyNumberFormat="1" applyFont="1" applyFill="1" applyBorder="1"/>
    <xf numFmtId="0" fontId="9" fillId="0" borderId="14" xfId="0" applyFont="1" applyBorder="1"/>
    <xf numFmtId="0" fontId="17" fillId="0" borderId="0" xfId="0" applyFont="1" applyBorder="1"/>
    <xf numFmtId="164" fontId="29" fillId="0" borderId="17" xfId="0" applyNumberFormat="1" applyFont="1" applyBorder="1"/>
    <xf numFmtId="164" fontId="29" fillId="0" borderId="8" xfId="0" applyNumberFormat="1" applyFont="1" applyFill="1" applyBorder="1" applyProtection="1"/>
    <xf numFmtId="0" fontId="17" fillId="4" borderId="8" xfId="0" applyNumberFormat="1" applyFont="1" applyFill="1" applyBorder="1" applyAlignment="1" applyProtection="1">
      <alignment horizontal="center"/>
      <protection locked="0"/>
    </xf>
    <xf numFmtId="0" fontId="17" fillId="4" borderId="11" xfId="0" applyNumberFormat="1" applyFont="1" applyFill="1" applyBorder="1" applyAlignment="1" applyProtection="1">
      <alignment horizontal="center"/>
      <protection locked="0"/>
    </xf>
    <xf numFmtId="1" fontId="17" fillId="4" borderId="0" xfId="0" applyNumberFormat="1" applyFont="1" applyFill="1" applyBorder="1" applyAlignment="1" applyProtection="1">
      <alignment horizontal="center"/>
      <protection locked="0"/>
    </xf>
    <xf numFmtId="49" fontId="37" fillId="4" borderId="8" xfId="0" applyNumberFormat="1" applyFont="1" applyFill="1" applyBorder="1" applyAlignment="1" applyProtection="1">
      <alignment horizontal="center"/>
      <protection locked="0"/>
    </xf>
    <xf numFmtId="0" fontId="35" fillId="7" borderId="18" xfId="0" applyFont="1" applyFill="1" applyBorder="1" applyAlignment="1" applyProtection="1">
      <alignment horizontal="left" vertical="center"/>
      <protection hidden="1"/>
    </xf>
    <xf numFmtId="0" fontId="5" fillId="2" borderId="16" xfId="0" applyFont="1" applyFill="1" applyBorder="1" applyProtection="1">
      <protection hidden="1"/>
    </xf>
    <xf numFmtId="8" fontId="5" fillId="2" borderId="36" xfId="0" applyNumberFormat="1" applyFont="1" applyFill="1" applyBorder="1" applyProtection="1">
      <protection hidden="1"/>
    </xf>
    <xf numFmtId="8" fontId="5" fillId="2" borderId="37" xfId="0" applyNumberFormat="1" applyFont="1" applyFill="1" applyBorder="1" applyProtection="1">
      <protection hidden="1"/>
    </xf>
    <xf numFmtId="0" fontId="29" fillId="0" borderId="7" xfId="0" applyFont="1" applyFill="1" applyBorder="1" applyAlignment="1" applyProtection="1">
      <alignment horizontal="center"/>
      <protection hidden="1"/>
    </xf>
    <xf numFmtId="0" fontId="29" fillId="0" borderId="2" xfId="0" applyFont="1" applyBorder="1" applyAlignment="1">
      <alignment horizontal="center"/>
    </xf>
    <xf numFmtId="0" fontId="17" fillId="4" borderId="24" xfId="0" applyFont="1" applyFill="1" applyBorder="1" applyProtection="1">
      <protection locked="0"/>
    </xf>
    <xf numFmtId="0" fontId="50" fillId="0" borderId="59" xfId="0" applyFont="1" applyBorder="1"/>
    <xf numFmtId="0" fontId="50" fillId="0" borderId="59" xfId="0" applyFont="1" applyBorder="1" applyAlignment="1">
      <alignment horizontal="center"/>
    </xf>
    <xf numFmtId="0" fontId="49" fillId="0" borderId="60" xfId="0" applyFont="1" applyBorder="1"/>
    <xf numFmtId="0" fontId="0" fillId="0" borderId="59" xfId="0" applyFont="1" applyBorder="1"/>
    <xf numFmtId="0" fontId="0" fillId="0" borderId="59" xfId="0" applyFont="1" applyBorder="1" applyAlignment="1">
      <alignment horizontal="center"/>
    </xf>
    <xf numFmtId="0" fontId="0" fillId="0" borderId="61" xfId="0" applyFont="1" applyBorder="1" applyAlignment="1">
      <alignment wrapText="1"/>
    </xf>
    <xf numFmtId="0" fontId="0" fillId="0" borderId="61" xfId="0" applyFont="1" applyBorder="1" applyAlignment="1">
      <alignment horizontal="center" vertical="center" wrapText="1"/>
    </xf>
    <xf numFmtId="0" fontId="49" fillId="0" borderId="61" xfId="0" applyFont="1" applyBorder="1" applyAlignment="1">
      <alignment horizontal="center" vertical="center"/>
    </xf>
    <xf numFmtId="1" fontId="49" fillId="0" borderId="61" xfId="0" applyNumberFormat="1" applyFont="1" applyBorder="1" applyAlignment="1">
      <alignment horizontal="center" vertical="center"/>
    </xf>
    <xf numFmtId="0" fontId="49" fillId="0" borderId="61" xfId="0" applyFont="1" applyBorder="1"/>
    <xf numFmtId="0" fontId="0" fillId="0" borderId="0" xfId="0" applyAlignment="1">
      <alignment wrapText="1"/>
    </xf>
    <xf numFmtId="0" fontId="0" fillId="0" borderId="0" xfId="0" applyBorder="1" applyAlignment="1">
      <alignment wrapText="1"/>
    </xf>
    <xf numFmtId="0" fontId="49" fillId="0" borderId="0" xfId="0" applyFont="1" applyBorder="1"/>
    <xf numFmtId="0" fontId="22" fillId="0" borderId="59" xfId="0" applyFont="1" applyBorder="1" applyAlignment="1">
      <alignment horizontal="center"/>
    </xf>
    <xf numFmtId="0" fontId="51" fillId="0" borderId="59" xfId="0" applyFont="1" applyBorder="1" applyAlignment="1">
      <alignment wrapText="1"/>
    </xf>
    <xf numFmtId="0" fontId="51" fillId="0" borderId="59" xfId="0" applyFont="1" applyBorder="1" applyAlignment="1">
      <alignment horizontal="center" vertical="center"/>
    </xf>
    <xf numFmtId="0" fontId="51" fillId="0" borderId="59" xfId="0" applyFont="1" applyBorder="1" applyAlignment="1">
      <alignment horizontal="center" vertical="center" wrapText="1"/>
    </xf>
    <xf numFmtId="0" fontId="51" fillId="0" borderId="59" xfId="0" applyFont="1" applyBorder="1"/>
    <xf numFmtId="0" fontId="51" fillId="0" borderId="59" xfId="0" applyFont="1" applyBorder="1" applyAlignment="1">
      <alignment horizontal="left" vertical="center" wrapText="1"/>
    </xf>
    <xf numFmtId="164" fontId="54" fillId="0" borderId="2" xfId="2" applyNumberFormat="1" applyFont="1" applyFill="1" applyBorder="1" applyAlignment="1">
      <alignment horizontal="center" vertical="center"/>
    </xf>
    <xf numFmtId="14" fontId="16" fillId="0" borderId="0" xfId="0" applyNumberFormat="1" applyFont="1" applyAlignment="1" applyProtection="1">
      <alignment horizontal="center" vertical="center"/>
      <protection hidden="1"/>
    </xf>
    <xf numFmtId="0" fontId="16" fillId="0" borderId="0" xfId="0" applyFont="1" applyAlignment="1" applyProtection="1">
      <alignment horizontal="right" vertical="center"/>
      <protection hidden="1"/>
    </xf>
    <xf numFmtId="14" fontId="5" fillId="4" borderId="17" xfId="0" applyNumberFormat="1" applyFont="1" applyFill="1" applyBorder="1" applyProtection="1">
      <protection locked="0" hidden="1"/>
    </xf>
    <xf numFmtId="0" fontId="25" fillId="0" borderId="0" xfId="0" applyFont="1" applyFill="1" applyBorder="1" applyProtection="1">
      <protection hidden="1"/>
    </xf>
    <xf numFmtId="0" fontId="14" fillId="0" borderId="0" xfId="0" applyFont="1" applyFill="1" applyBorder="1" applyProtection="1">
      <protection hidden="1"/>
    </xf>
    <xf numFmtId="0" fontId="6" fillId="0" borderId="0" xfId="0" applyFont="1" applyFill="1" applyBorder="1" applyProtection="1">
      <protection hidden="1"/>
    </xf>
    <xf numFmtId="164" fontId="6" fillId="0" borderId="0" xfId="0" applyNumberFormat="1" applyFont="1" applyFill="1" applyBorder="1" applyProtection="1">
      <protection hidden="1"/>
    </xf>
    <xf numFmtId="164" fontId="17" fillId="16" borderId="0" xfId="0" applyNumberFormat="1" applyFont="1" applyFill="1" applyBorder="1" applyProtection="1">
      <protection hidden="1"/>
    </xf>
    <xf numFmtId="0" fontId="9" fillId="16" borderId="5" xfId="0" applyNumberFormat="1" applyFont="1" applyFill="1" applyBorder="1" applyProtection="1">
      <protection hidden="1"/>
    </xf>
    <xf numFmtId="164" fontId="17" fillId="16" borderId="2" xfId="0" applyNumberFormat="1" applyFont="1" applyFill="1" applyBorder="1" applyProtection="1">
      <protection hidden="1"/>
    </xf>
    <xf numFmtId="164" fontId="55" fillId="0" borderId="0" xfId="0" applyNumberFormat="1" applyFont="1" applyProtection="1"/>
    <xf numFmtId="0" fontId="32" fillId="0" borderId="0" xfId="0" applyFont="1"/>
    <xf numFmtId="0" fontId="41" fillId="0" borderId="0" xfId="0" applyFont="1" applyProtection="1">
      <protection hidden="1"/>
    </xf>
    <xf numFmtId="164" fontId="9" fillId="0" borderId="0" xfId="0" applyNumberFormat="1" applyFont="1" applyFill="1" applyBorder="1" applyProtection="1"/>
    <xf numFmtId="164" fontId="17" fillId="11" borderId="66" xfId="0" applyNumberFormat="1" applyFont="1" applyFill="1" applyBorder="1" applyAlignment="1" applyProtection="1">
      <alignment horizontal="right"/>
      <protection hidden="1"/>
    </xf>
    <xf numFmtId="164" fontId="28" fillId="0" borderId="13" xfId="0" applyNumberFormat="1" applyFont="1" applyFill="1" applyBorder="1" applyAlignment="1" applyProtection="1">
      <alignment horizontal="left"/>
      <protection hidden="1"/>
    </xf>
    <xf numFmtId="164" fontId="17" fillId="0" borderId="14" xfId="0" applyNumberFormat="1" applyFont="1" applyFill="1" applyBorder="1" applyAlignment="1" applyProtection="1">
      <alignment horizontal="right"/>
      <protection hidden="1"/>
    </xf>
    <xf numFmtId="164" fontId="17" fillId="0" borderId="14" xfId="0" applyNumberFormat="1" applyFont="1" applyFill="1" applyBorder="1" applyProtection="1"/>
    <xf numFmtId="164" fontId="17" fillId="11" borderId="28" xfId="0" applyNumberFormat="1" applyFont="1" applyFill="1" applyBorder="1" applyAlignment="1" applyProtection="1">
      <alignment horizontal="right"/>
      <protection hidden="1"/>
    </xf>
    <xf numFmtId="164" fontId="17" fillId="0" borderId="16" xfId="0" applyNumberFormat="1" applyFont="1" applyFill="1" applyBorder="1" applyAlignment="1" applyProtection="1">
      <alignment horizontal="right"/>
      <protection hidden="1"/>
    </xf>
    <xf numFmtId="164" fontId="17" fillId="0" borderId="17" xfId="0" applyNumberFormat="1" applyFont="1" applyFill="1" applyBorder="1" applyAlignment="1" applyProtection="1">
      <alignment horizontal="right"/>
      <protection hidden="1"/>
    </xf>
    <xf numFmtId="164" fontId="17" fillId="0" borderId="17" xfId="0" applyNumberFormat="1" applyFont="1" applyBorder="1"/>
    <xf numFmtId="164" fontId="17" fillId="0" borderId="32" xfId="0" applyNumberFormat="1" applyFont="1" applyBorder="1"/>
    <xf numFmtId="164" fontId="9" fillId="17" borderId="29" xfId="0" applyNumberFormat="1" applyFont="1" applyFill="1" applyBorder="1" applyProtection="1">
      <protection hidden="1"/>
    </xf>
    <xf numFmtId="164" fontId="17" fillId="5" borderId="9" xfId="0" applyNumberFormat="1" applyFont="1" applyFill="1" applyBorder="1" applyAlignment="1">
      <alignment horizontal="center"/>
    </xf>
    <xf numFmtId="164" fontId="17" fillId="5" borderId="6" xfId="0" applyNumberFormat="1" applyFont="1" applyFill="1" applyBorder="1" applyAlignment="1">
      <alignment horizontal="center"/>
    </xf>
    <xf numFmtId="0" fontId="17" fillId="0" borderId="26" xfId="0" applyFont="1" applyFill="1" applyBorder="1" applyProtection="1"/>
    <xf numFmtId="164" fontId="56" fillId="0" borderId="2" xfId="0" applyNumberFormat="1" applyFont="1" applyBorder="1" applyProtection="1">
      <protection hidden="1"/>
    </xf>
    <xf numFmtId="164" fontId="56" fillId="0" borderId="8" xfId="0" applyNumberFormat="1" applyFont="1" applyBorder="1" applyProtection="1">
      <protection hidden="1"/>
    </xf>
    <xf numFmtId="164" fontId="17" fillId="18" borderId="0" xfId="0" applyNumberFormat="1" applyFont="1" applyFill="1" applyBorder="1" applyAlignment="1" applyProtection="1">
      <alignment horizontal="right"/>
      <protection hidden="1"/>
    </xf>
    <xf numFmtId="164" fontId="17" fillId="4" borderId="2" xfId="0" applyNumberFormat="1" applyFont="1" applyFill="1" applyBorder="1" applyAlignment="1" applyProtection="1">
      <alignment horizontal="center"/>
      <protection locked="0" hidden="1"/>
    </xf>
    <xf numFmtId="0" fontId="28" fillId="0" borderId="24" xfId="0" applyFont="1" applyFill="1" applyBorder="1"/>
    <xf numFmtId="165" fontId="17" fillId="4" borderId="1" xfId="0" applyNumberFormat="1" applyFont="1" applyFill="1" applyBorder="1" applyAlignment="1" applyProtection="1">
      <alignment horizontal="center"/>
      <protection locked="0"/>
    </xf>
    <xf numFmtId="0" fontId="17" fillId="9" borderId="4" xfId="0" applyFont="1" applyFill="1" applyBorder="1"/>
    <xf numFmtId="164" fontId="17" fillId="0" borderId="25" xfId="0" applyNumberFormat="1" applyFont="1" applyFill="1" applyBorder="1" applyProtection="1">
      <protection locked="0"/>
    </xf>
    <xf numFmtId="0" fontId="17" fillId="5" borderId="9" xfId="0" applyFont="1" applyFill="1" applyBorder="1" applyAlignment="1">
      <alignment horizontal="center"/>
    </xf>
    <xf numFmtId="1" fontId="17" fillId="0" borderId="9" xfId="0" applyNumberFormat="1" applyFont="1" applyFill="1" applyBorder="1" applyAlignment="1" applyProtection="1">
      <alignment horizontal="center"/>
      <protection hidden="1"/>
    </xf>
    <xf numFmtId="0" fontId="17" fillId="5" borderId="10" xfId="0" applyFont="1" applyFill="1" applyBorder="1" applyAlignment="1">
      <alignment horizontal="center"/>
    </xf>
    <xf numFmtId="164" fontId="28" fillId="0" borderId="0" xfId="0" applyNumberFormat="1" applyFont="1" applyProtection="1">
      <protection hidden="1"/>
    </xf>
    <xf numFmtId="164" fontId="57" fillId="0" borderId="0" xfId="0" applyNumberFormat="1" applyFont="1" applyProtection="1">
      <protection hidden="1"/>
    </xf>
    <xf numFmtId="0" fontId="55" fillId="0" borderId="0" xfId="0" applyFont="1" applyProtection="1"/>
    <xf numFmtId="164" fontId="5" fillId="14" borderId="46" xfId="0" applyNumberFormat="1" applyFont="1" applyFill="1" applyBorder="1" applyAlignment="1" applyProtection="1">
      <alignment horizontal="right"/>
      <protection hidden="1"/>
    </xf>
    <xf numFmtId="0" fontId="41" fillId="0" borderId="0" xfId="0" applyFont="1" applyAlignment="1" applyProtection="1">
      <alignment horizontal="left"/>
      <protection hidden="1"/>
    </xf>
    <xf numFmtId="164" fontId="58" fillId="0" borderId="2" xfId="0" applyNumberFormat="1" applyFont="1" applyFill="1" applyBorder="1" applyAlignment="1" applyProtection="1">
      <alignment horizontal="center"/>
      <protection hidden="1"/>
    </xf>
    <xf numFmtId="164" fontId="58" fillId="0" borderId="2" xfId="0" applyNumberFormat="1" applyFont="1" applyFill="1" applyBorder="1" applyAlignment="1">
      <alignment horizontal="center"/>
    </xf>
    <xf numFmtId="0" fontId="6" fillId="19" borderId="21" xfId="0" applyFont="1" applyFill="1" applyBorder="1"/>
    <xf numFmtId="0" fontId="17" fillId="6" borderId="24" xfId="0" applyFont="1" applyFill="1" applyBorder="1" applyProtection="1"/>
    <xf numFmtId="0" fontId="17" fillId="18" borderId="23" xfId="0" applyFont="1" applyFill="1" applyBorder="1"/>
    <xf numFmtId="164" fontId="17" fillId="18" borderId="0" xfId="0" applyNumberFormat="1" applyFont="1" applyFill="1" applyBorder="1"/>
    <xf numFmtId="164" fontId="17" fillId="16" borderId="8" xfId="0" applyNumberFormat="1" applyFont="1" applyFill="1" applyBorder="1" applyProtection="1">
      <protection hidden="1"/>
    </xf>
    <xf numFmtId="164" fontId="9" fillId="18" borderId="0" xfId="0" applyNumberFormat="1" applyFont="1" applyFill="1"/>
    <xf numFmtId="0" fontId="25" fillId="20" borderId="4" xfId="0" applyFont="1" applyFill="1" applyBorder="1" applyProtection="1">
      <protection locked="0"/>
    </xf>
    <xf numFmtId="0" fontId="28" fillId="0" borderId="0" xfId="0" applyFont="1" applyFill="1" applyBorder="1" applyProtection="1"/>
    <xf numFmtId="0" fontId="62" fillId="0" borderId="7" xfId="0" applyFont="1" applyFill="1" applyBorder="1" applyAlignment="1" applyProtection="1">
      <alignment horizontal="center"/>
      <protection locked="0"/>
    </xf>
    <xf numFmtId="164" fontId="17" fillId="0" borderId="0" xfId="0" applyNumberFormat="1" applyFont="1" applyFill="1" applyBorder="1" applyProtection="1">
      <protection locked="0"/>
    </xf>
    <xf numFmtId="164" fontId="17" fillId="4" borderId="36" xfId="0" applyNumberFormat="1" applyFont="1" applyFill="1" applyBorder="1" applyAlignment="1" applyProtection="1">
      <alignment horizontal="center"/>
      <protection locked="0"/>
    </xf>
    <xf numFmtId="8" fontId="9" fillId="0" borderId="0" xfId="0" applyNumberFormat="1" applyFont="1" applyProtection="1">
      <protection hidden="1"/>
    </xf>
    <xf numFmtId="164" fontId="17" fillId="0" borderId="36" xfId="0" applyNumberFormat="1" applyFont="1" applyFill="1" applyBorder="1" applyAlignment="1" applyProtection="1">
      <alignment horizontal="center"/>
    </xf>
    <xf numFmtId="164" fontId="17" fillId="0" borderId="12" xfId="0" applyNumberFormat="1" applyFont="1" applyFill="1" applyBorder="1" applyAlignment="1" applyProtection="1">
      <alignment horizontal="right"/>
      <protection locked="0"/>
    </xf>
    <xf numFmtId="0" fontId="63" fillId="0" borderId="5" xfId="0" applyFont="1" applyFill="1" applyBorder="1" applyProtection="1">
      <protection hidden="1"/>
    </xf>
    <xf numFmtId="0" fontId="63" fillId="13" borderId="5" xfId="0" applyFont="1" applyFill="1" applyBorder="1" applyProtection="1">
      <protection hidden="1"/>
    </xf>
    <xf numFmtId="0" fontId="37" fillId="9" borderId="5" xfId="0" applyFont="1" applyFill="1" applyBorder="1"/>
    <xf numFmtId="0" fontId="37" fillId="12" borderId="5" xfId="0" applyFont="1" applyFill="1" applyBorder="1"/>
    <xf numFmtId="164" fontId="27" fillId="0" borderId="2" xfId="0" applyNumberFormat="1" applyFont="1" applyFill="1" applyBorder="1" applyProtection="1">
      <protection hidden="1"/>
    </xf>
    <xf numFmtId="164" fontId="27" fillId="0" borderId="8" xfId="0" applyNumberFormat="1" applyFont="1" applyFill="1" applyBorder="1" applyProtection="1">
      <protection hidden="1"/>
    </xf>
    <xf numFmtId="0" fontId="10" fillId="0" borderId="30" xfId="0" applyNumberFormat="1" applyFont="1" applyFill="1" applyBorder="1" applyProtection="1">
      <protection hidden="1"/>
    </xf>
    <xf numFmtId="8" fontId="17" fillId="5" borderId="29" xfId="0" applyNumberFormat="1" applyFont="1" applyFill="1" applyBorder="1" applyProtection="1">
      <protection hidden="1"/>
    </xf>
    <xf numFmtId="164" fontId="17" fillId="0" borderId="68" xfId="0" applyNumberFormat="1" applyFont="1" applyFill="1" applyBorder="1" applyProtection="1">
      <protection hidden="1"/>
    </xf>
    <xf numFmtId="0" fontId="17" fillId="0" borderId="55" xfId="0" applyFont="1" applyBorder="1"/>
    <xf numFmtId="14" fontId="17" fillId="0" borderId="0" xfId="0" applyNumberFormat="1" applyFont="1" applyAlignment="1">
      <alignment horizontal="left"/>
    </xf>
    <xf numFmtId="0" fontId="0" fillId="0" borderId="0" xfId="0" applyBorder="1"/>
    <xf numFmtId="164" fontId="64" fillId="0" borderId="0" xfId="0" applyNumberFormat="1" applyFont="1"/>
    <xf numFmtId="0" fontId="0" fillId="0" borderId="0" xfId="0" applyAlignment="1">
      <alignment horizontal="left"/>
    </xf>
    <xf numFmtId="0" fontId="6" fillId="0" borderId="0" xfId="0" applyFont="1" applyFill="1" applyBorder="1" applyAlignment="1" applyProtection="1">
      <alignment vertical="center" wrapText="1"/>
      <protection hidden="1"/>
    </xf>
    <xf numFmtId="8" fontId="5" fillId="0" borderId="0" xfId="0" applyNumberFormat="1" applyFont="1" applyFill="1" applyBorder="1" applyAlignment="1" applyProtection="1">
      <alignment vertical="center"/>
      <protection hidden="1"/>
    </xf>
    <xf numFmtId="164" fontId="5" fillId="0" borderId="0" xfId="0" applyNumberFormat="1" applyFont="1" applyFill="1" applyBorder="1" applyAlignment="1" applyProtection="1">
      <alignment vertical="center"/>
      <protection hidden="1"/>
    </xf>
    <xf numFmtId="164" fontId="17" fillId="0" borderId="2" xfId="0" applyNumberFormat="1" applyFont="1" applyBorder="1" applyAlignment="1">
      <alignment horizontal="left"/>
    </xf>
    <xf numFmtId="164" fontId="17" fillId="0" borderId="2" xfId="0" applyNumberFormat="1" applyFont="1" applyBorder="1" applyAlignment="1">
      <alignment vertical="center"/>
    </xf>
    <xf numFmtId="164" fontId="17" fillId="0" borderId="2" xfId="0" applyNumberFormat="1" applyFont="1" applyFill="1" applyBorder="1" applyAlignment="1" applyProtection="1">
      <alignment vertical="center"/>
      <protection hidden="1"/>
    </xf>
    <xf numFmtId="9" fontId="17" fillId="0" borderId="2" xfId="0" applyNumberFormat="1" applyFont="1" applyFill="1" applyBorder="1" applyProtection="1">
      <protection hidden="1"/>
    </xf>
    <xf numFmtId="9" fontId="17" fillId="0" borderId="2" xfId="0" applyNumberFormat="1" applyFont="1" applyFill="1" applyBorder="1" applyAlignment="1" applyProtection="1">
      <alignment vertical="center"/>
      <protection hidden="1"/>
    </xf>
    <xf numFmtId="8" fontId="17" fillId="21" borderId="2" xfId="0" applyNumberFormat="1" applyFont="1" applyFill="1" applyBorder="1" applyProtection="1">
      <protection hidden="1"/>
    </xf>
    <xf numFmtId="164" fontId="17" fillId="21" borderId="2" xfId="0" applyNumberFormat="1" applyFont="1" applyFill="1" applyBorder="1" applyAlignment="1" applyProtection="1">
      <alignment vertical="center"/>
      <protection hidden="1"/>
    </xf>
    <xf numFmtId="0" fontId="23" fillId="0" borderId="0" xfId="0" applyFont="1" applyFill="1" applyBorder="1" applyProtection="1">
      <protection hidden="1"/>
    </xf>
    <xf numFmtId="0" fontId="9" fillId="17" borderId="4" xfId="0" applyFont="1" applyFill="1" applyBorder="1" applyProtection="1">
      <protection hidden="1"/>
    </xf>
    <xf numFmtId="0" fontId="6" fillId="5" borderId="9" xfId="0" applyFont="1" applyFill="1" applyBorder="1" applyAlignment="1" applyProtection="1">
      <alignment horizontal="center" vertical="center"/>
      <protection hidden="1"/>
    </xf>
    <xf numFmtId="0" fontId="6" fillId="5" borderId="10" xfId="0" applyFont="1" applyFill="1" applyBorder="1" applyAlignment="1" applyProtection="1">
      <alignment horizontal="center" vertical="center"/>
      <protection hidden="1"/>
    </xf>
    <xf numFmtId="0" fontId="17" fillId="0" borderId="5" xfId="0" applyFont="1" applyBorder="1" applyAlignment="1">
      <alignment horizontal="left" vertical="center"/>
    </xf>
    <xf numFmtId="0" fontId="17" fillId="0" borderId="5" xfId="0" applyFont="1" applyBorder="1" applyAlignment="1">
      <alignment vertical="center" wrapText="1"/>
    </xf>
    <xf numFmtId="164" fontId="17" fillId="0" borderId="8" xfId="0" applyNumberFormat="1" applyFont="1" applyBorder="1" applyAlignment="1">
      <alignment vertical="center"/>
    </xf>
    <xf numFmtId="0" fontId="6" fillId="0" borderId="5" xfId="0" applyFont="1" applyFill="1" applyBorder="1" applyAlignment="1" applyProtection="1">
      <alignment vertical="center" wrapText="1"/>
      <protection hidden="1"/>
    </xf>
    <xf numFmtId="164" fontId="17" fillId="0" borderId="8" xfId="0" applyNumberFormat="1" applyFont="1" applyFill="1" applyBorder="1" applyAlignment="1" applyProtection="1">
      <alignment vertical="center"/>
      <protection hidden="1"/>
    </xf>
    <xf numFmtId="0" fontId="6" fillId="0" borderId="5" xfId="0" applyFont="1" applyFill="1" applyBorder="1" applyAlignment="1" applyProtection="1">
      <alignment vertical="center"/>
      <protection hidden="1"/>
    </xf>
    <xf numFmtId="9" fontId="17" fillId="0" borderId="8" xfId="0" applyNumberFormat="1" applyFont="1" applyFill="1" applyBorder="1" applyAlignment="1" applyProtection="1">
      <alignment vertical="center"/>
      <protection hidden="1"/>
    </xf>
    <xf numFmtId="0" fontId="17" fillId="0" borderId="5" xfId="0" applyFont="1" applyFill="1" applyBorder="1" applyAlignment="1" applyProtection="1">
      <alignment vertical="center"/>
      <protection hidden="1"/>
    </xf>
    <xf numFmtId="0" fontId="17" fillId="21" borderId="5" xfId="0" applyFont="1" applyFill="1" applyBorder="1" applyAlignment="1" applyProtection="1">
      <alignment vertical="center"/>
      <protection hidden="1"/>
    </xf>
    <xf numFmtId="164" fontId="17" fillId="21" borderId="8" xfId="0" applyNumberFormat="1" applyFont="1" applyFill="1" applyBorder="1" applyAlignment="1" applyProtection="1">
      <alignment vertical="center"/>
      <protection hidden="1"/>
    </xf>
    <xf numFmtId="0" fontId="17" fillId="0" borderId="5" xfId="0" applyFont="1" applyFill="1" applyBorder="1" applyAlignment="1" applyProtection="1">
      <alignment vertical="center" wrapText="1"/>
      <protection hidden="1"/>
    </xf>
    <xf numFmtId="0" fontId="6" fillId="0" borderId="69" xfId="0" applyFont="1" applyFill="1" applyBorder="1" applyAlignment="1" applyProtection="1">
      <alignment vertical="center" wrapText="1"/>
      <protection hidden="1"/>
    </xf>
    <xf numFmtId="164" fontId="17" fillId="20" borderId="2" xfId="0" applyNumberFormat="1" applyFont="1" applyFill="1" applyBorder="1" applyAlignment="1" applyProtection="1">
      <alignment vertical="center"/>
      <protection locked="0"/>
    </xf>
    <xf numFmtId="164" fontId="17" fillId="20" borderId="8" xfId="0" applyNumberFormat="1" applyFont="1" applyFill="1" applyBorder="1" applyAlignment="1" applyProtection="1">
      <alignment vertical="center"/>
      <protection locked="0"/>
    </xf>
    <xf numFmtId="164" fontId="17" fillId="0" borderId="2" xfId="0" applyNumberFormat="1" applyFont="1" applyBorder="1" applyAlignment="1">
      <alignment horizontal="center" vertical="center"/>
    </xf>
    <xf numFmtId="167" fontId="17" fillId="0" borderId="2" xfId="0" applyNumberFormat="1" applyFont="1" applyFill="1" applyBorder="1" applyAlignment="1" applyProtection="1">
      <alignment vertical="center"/>
      <protection hidden="1"/>
    </xf>
    <xf numFmtId="167" fontId="17" fillId="0" borderId="8" xfId="0" applyNumberFormat="1" applyFont="1" applyFill="1" applyBorder="1" applyAlignment="1" applyProtection="1">
      <alignment vertical="center"/>
      <protection hidden="1"/>
    </xf>
    <xf numFmtId="164" fontId="59" fillId="0" borderId="0" xfId="0" applyNumberFormat="1" applyFont="1" applyProtection="1">
      <protection hidden="1"/>
    </xf>
    <xf numFmtId="0" fontId="9" fillId="0" borderId="2" xfId="0" applyFont="1" applyBorder="1"/>
    <xf numFmtId="164" fontId="17" fillId="0" borderId="27" xfId="0" applyNumberFormat="1" applyFont="1" applyFill="1" applyBorder="1" applyAlignment="1" applyProtection="1">
      <alignment horizontal="right"/>
      <protection locked="0"/>
    </xf>
    <xf numFmtId="164" fontId="17" fillId="0" borderId="28" xfId="0" applyNumberFormat="1" applyFont="1" applyFill="1" applyBorder="1" applyProtection="1">
      <protection locked="0"/>
    </xf>
    <xf numFmtId="164" fontId="17" fillId="0" borderId="37" xfId="0" applyNumberFormat="1" applyFont="1" applyFill="1" applyBorder="1" applyAlignment="1" applyProtection="1">
      <alignment horizontal="center"/>
    </xf>
    <xf numFmtId="0" fontId="62" fillId="0" borderId="7" xfId="0" applyFont="1" applyFill="1" applyBorder="1" applyAlignment="1" applyProtection="1">
      <alignment horizontal="center"/>
    </xf>
    <xf numFmtId="164" fontId="17" fillId="0" borderId="9" xfId="0" applyNumberFormat="1" applyFont="1" applyBorder="1" applyProtection="1">
      <protection hidden="1"/>
    </xf>
    <xf numFmtId="164" fontId="17" fillId="0" borderId="10" xfId="0" applyNumberFormat="1" applyFont="1" applyBorder="1" applyProtection="1">
      <protection hidden="1"/>
    </xf>
    <xf numFmtId="164" fontId="17" fillId="16" borderId="28" xfId="0" applyNumberFormat="1" applyFont="1" applyFill="1" applyBorder="1" applyProtection="1">
      <protection hidden="1"/>
    </xf>
    <xf numFmtId="8" fontId="43" fillId="0" borderId="29" xfId="0" applyNumberFormat="1" applyFont="1" applyFill="1" applyBorder="1" applyProtection="1">
      <protection hidden="1"/>
    </xf>
    <xf numFmtId="8" fontId="17" fillId="0" borderId="12" xfId="0" applyNumberFormat="1" applyFont="1" applyFill="1" applyBorder="1" applyProtection="1">
      <protection hidden="1"/>
    </xf>
    <xf numFmtId="164" fontId="6" fillId="0" borderId="2" xfId="0" applyNumberFormat="1" applyFont="1" applyFill="1" applyBorder="1" applyProtection="1">
      <protection hidden="1"/>
    </xf>
    <xf numFmtId="0" fontId="10" fillId="0" borderId="5" xfId="0" applyNumberFormat="1" applyFont="1" applyFill="1" applyBorder="1" applyProtection="1">
      <protection hidden="1"/>
    </xf>
    <xf numFmtId="49" fontId="10" fillId="0" borderId="5" xfId="0" applyNumberFormat="1" applyFont="1" applyFill="1" applyBorder="1" applyProtection="1">
      <protection hidden="1"/>
    </xf>
    <xf numFmtId="0" fontId="9" fillId="0" borderId="0" xfId="0" applyFont="1" applyBorder="1" applyProtection="1">
      <protection hidden="1"/>
    </xf>
    <xf numFmtId="0" fontId="17" fillId="0" borderId="0" xfId="0" applyFont="1" applyBorder="1" applyAlignment="1" applyProtection="1">
      <alignment vertical="center"/>
      <protection hidden="1"/>
    </xf>
    <xf numFmtId="0" fontId="56" fillId="0" borderId="0" xfId="0" applyFont="1" applyFill="1" applyBorder="1" applyProtection="1">
      <protection locked="0" hidden="1"/>
    </xf>
    <xf numFmtId="0" fontId="5" fillId="0" borderId="23" xfId="0" applyFont="1" applyBorder="1" applyProtection="1">
      <protection hidden="1"/>
    </xf>
    <xf numFmtId="0" fontId="9" fillId="0" borderId="28" xfId="0" applyFont="1" applyBorder="1" applyProtection="1">
      <protection hidden="1"/>
    </xf>
    <xf numFmtId="0" fontId="9" fillId="0" borderId="16" xfId="0" applyFont="1" applyBorder="1" applyProtection="1">
      <protection hidden="1"/>
    </xf>
    <xf numFmtId="0" fontId="56" fillId="0" borderId="17" xfId="0" applyFont="1" applyBorder="1" applyProtection="1">
      <protection locked="0" hidden="1"/>
    </xf>
    <xf numFmtId="0" fontId="17" fillId="0" borderId="17" xfId="0" applyFont="1" applyBorder="1" applyAlignment="1" applyProtection="1">
      <alignment vertical="center"/>
      <protection hidden="1"/>
    </xf>
    <xf numFmtId="0" fontId="9" fillId="0" borderId="17" xfId="0" applyFont="1" applyBorder="1" applyProtection="1">
      <protection hidden="1"/>
    </xf>
    <xf numFmtId="0" fontId="9" fillId="0" borderId="32" xfId="0" applyFont="1" applyBorder="1" applyProtection="1">
      <protection hidden="1"/>
    </xf>
    <xf numFmtId="0" fontId="5" fillId="0" borderId="54" xfId="0" applyFont="1" applyBorder="1" applyProtection="1">
      <protection hidden="1"/>
    </xf>
    <xf numFmtId="0" fontId="5" fillId="0" borderId="55" xfId="0" applyFont="1" applyBorder="1" applyProtection="1">
      <protection hidden="1"/>
    </xf>
    <xf numFmtId="0" fontId="17" fillId="0" borderId="55" xfId="0" applyFont="1" applyBorder="1" applyAlignment="1" applyProtection="1">
      <alignment horizontal="center"/>
      <protection hidden="1"/>
    </xf>
    <xf numFmtId="1" fontId="9" fillId="0" borderId="55" xfId="0" applyNumberFormat="1" applyFont="1" applyFill="1" applyBorder="1" applyAlignment="1" applyProtection="1">
      <alignment horizontal="center"/>
      <protection hidden="1"/>
    </xf>
    <xf numFmtId="0" fontId="9" fillId="0" borderId="42" xfId="0" applyFont="1" applyFill="1" applyBorder="1" applyProtection="1">
      <protection hidden="1"/>
    </xf>
    <xf numFmtId="0" fontId="66" fillId="0" borderId="0" xfId="0" applyFont="1"/>
    <xf numFmtId="0" fontId="28" fillId="0" borderId="0" xfId="0" applyFont="1" applyBorder="1" applyAlignment="1" applyProtection="1">
      <alignment horizontal="center"/>
      <protection hidden="1"/>
    </xf>
    <xf numFmtId="8" fontId="5" fillId="22" borderId="2" xfId="0" applyNumberFormat="1" applyFont="1" applyFill="1" applyBorder="1" applyAlignment="1" applyProtection="1">
      <alignment vertical="center"/>
      <protection hidden="1"/>
    </xf>
    <xf numFmtId="164" fontId="5" fillId="22" borderId="2" xfId="0" applyNumberFormat="1" applyFont="1" applyFill="1" applyBorder="1" applyAlignment="1" applyProtection="1">
      <alignment vertical="center"/>
      <protection hidden="1"/>
    </xf>
    <xf numFmtId="8" fontId="6" fillId="22" borderId="5" xfId="0" applyNumberFormat="1" applyFont="1" applyFill="1" applyBorder="1" applyAlignment="1" applyProtection="1">
      <alignment vertical="center" wrapText="1"/>
      <protection hidden="1"/>
    </xf>
    <xf numFmtId="164" fontId="5" fillId="22" borderId="8" xfId="0" applyNumberFormat="1" applyFont="1" applyFill="1" applyBorder="1" applyAlignment="1" applyProtection="1">
      <alignment vertical="center"/>
      <protection hidden="1"/>
    </xf>
    <xf numFmtId="0" fontId="57" fillId="0" borderId="17" xfId="0" applyFont="1" applyBorder="1" applyAlignment="1" applyProtection="1">
      <alignment horizontal="center"/>
      <protection hidden="1"/>
    </xf>
    <xf numFmtId="8" fontId="6" fillId="0" borderId="3" xfId="0" applyNumberFormat="1" applyFont="1" applyFill="1" applyBorder="1" applyAlignment="1" applyProtection="1">
      <alignment vertical="center" wrapText="1"/>
      <protection hidden="1"/>
    </xf>
    <xf numFmtId="8" fontId="5" fillId="0" borderId="1" xfId="0" applyNumberFormat="1" applyFont="1" applyFill="1" applyBorder="1" applyAlignment="1" applyProtection="1">
      <alignment vertical="center"/>
      <protection hidden="1"/>
    </xf>
    <xf numFmtId="8" fontId="5" fillId="0" borderId="1" xfId="0" applyNumberFormat="1" applyFont="1" applyFill="1" applyBorder="1" applyAlignment="1" applyProtection="1">
      <alignment vertical="center" wrapText="1"/>
      <protection hidden="1"/>
    </xf>
    <xf numFmtId="8" fontId="5" fillId="0" borderId="11" xfId="0" applyNumberFormat="1" applyFont="1" applyFill="1" applyBorder="1" applyAlignment="1" applyProtection="1">
      <alignment vertical="center" wrapText="1"/>
      <protection hidden="1"/>
    </xf>
    <xf numFmtId="14" fontId="5" fillId="20" borderId="55" xfId="0" applyNumberFormat="1" applyFont="1" applyFill="1" applyBorder="1" applyAlignment="1" applyProtection="1">
      <alignment horizontal="center"/>
      <protection locked="0"/>
    </xf>
    <xf numFmtId="14" fontId="5" fillId="0" borderId="55" xfId="0" applyNumberFormat="1" applyFont="1" applyFill="1" applyBorder="1" applyAlignment="1" applyProtection="1">
      <alignment horizontal="center"/>
      <protection hidden="1"/>
    </xf>
    <xf numFmtId="164" fontId="17" fillId="0" borderId="0" xfId="0" applyNumberFormat="1" applyFont="1" applyFill="1" applyBorder="1" applyAlignment="1" applyProtection="1">
      <alignment horizontal="center"/>
    </xf>
    <xf numFmtId="0" fontId="17" fillId="23" borderId="2" xfId="0" applyFont="1" applyFill="1" applyBorder="1"/>
    <xf numFmtId="0" fontId="9" fillId="23" borderId="2" xfId="0" applyFont="1" applyFill="1" applyBorder="1"/>
    <xf numFmtId="164" fontId="17" fillId="23" borderId="2" xfId="0" applyNumberFormat="1" applyFont="1" applyFill="1" applyBorder="1" applyAlignment="1" applyProtection="1">
      <alignment horizontal="center"/>
    </xf>
    <xf numFmtId="0" fontId="17" fillId="4" borderId="2" xfId="0" applyFont="1" applyFill="1" applyBorder="1" applyProtection="1">
      <protection locked="0"/>
    </xf>
    <xf numFmtId="164" fontId="6" fillId="0" borderId="2" xfId="0" applyNumberFormat="1" applyFont="1" applyFill="1" applyBorder="1" applyAlignment="1" applyProtection="1">
      <alignment horizontal="right"/>
    </xf>
    <xf numFmtId="0" fontId="17" fillId="0" borderId="5" xfId="0" applyFont="1" applyBorder="1" applyProtection="1">
      <protection hidden="1"/>
    </xf>
    <xf numFmtId="0" fontId="17" fillId="0" borderId="3" xfId="0" applyFont="1" applyBorder="1" applyProtection="1">
      <protection hidden="1"/>
    </xf>
    <xf numFmtId="0" fontId="17" fillId="0" borderId="1" xfId="0" applyFont="1" applyFill="1" applyBorder="1" applyAlignment="1" applyProtection="1">
      <alignment horizontal="center"/>
      <protection hidden="1"/>
    </xf>
    <xf numFmtId="0" fontId="17" fillId="0" borderId="11" xfId="0" applyFont="1" applyFill="1" applyBorder="1" applyAlignment="1" applyProtection="1">
      <alignment horizontal="center"/>
      <protection hidden="1"/>
    </xf>
    <xf numFmtId="0" fontId="26" fillId="0" borderId="0" xfId="0" applyFont="1"/>
    <xf numFmtId="0" fontId="26" fillId="0" borderId="2" xfId="0" applyFont="1" applyBorder="1"/>
    <xf numFmtId="0" fontId="63" fillId="0" borderId="5" xfId="0" applyNumberFormat="1" applyFont="1" applyBorder="1" applyProtection="1">
      <protection hidden="1"/>
    </xf>
    <xf numFmtId="164" fontId="28" fillId="0" borderId="2" xfId="0" applyNumberFormat="1" applyFont="1" applyFill="1" applyBorder="1" applyProtection="1">
      <protection hidden="1"/>
    </xf>
    <xf numFmtId="0" fontId="63" fillId="0" borderId="23" xfId="0" applyFont="1" applyBorder="1" applyProtection="1">
      <protection hidden="1"/>
    </xf>
    <xf numFmtId="164" fontId="17" fillId="0" borderId="35" xfId="0" applyNumberFormat="1" applyFont="1" applyFill="1" applyBorder="1" applyProtection="1">
      <protection hidden="1"/>
    </xf>
    <xf numFmtId="0" fontId="9" fillId="0" borderId="72" xfId="0" applyNumberFormat="1" applyFont="1" applyBorder="1" applyProtection="1">
      <protection hidden="1"/>
    </xf>
    <xf numFmtId="164" fontId="17" fillId="0" borderId="48" xfId="0" applyNumberFormat="1" applyFont="1" applyFill="1" applyBorder="1" applyProtection="1">
      <protection hidden="1"/>
    </xf>
    <xf numFmtId="0" fontId="14" fillId="3" borderId="0" xfId="0" applyFont="1" applyFill="1" applyProtection="1">
      <protection hidden="1"/>
    </xf>
    <xf numFmtId="0" fontId="17" fillId="3" borderId="0" xfId="0" applyFont="1" applyFill="1" applyProtection="1">
      <protection hidden="1"/>
    </xf>
    <xf numFmtId="0" fontId="17" fillId="5" borderId="76" xfId="0" applyFont="1" applyFill="1" applyBorder="1" applyProtection="1">
      <protection hidden="1"/>
    </xf>
    <xf numFmtId="0" fontId="6" fillId="5" borderId="77" xfId="0" applyFont="1" applyFill="1" applyBorder="1" applyAlignment="1" applyProtection="1">
      <alignment horizontal="center"/>
      <protection hidden="1"/>
    </xf>
    <xf numFmtId="0" fontId="6" fillId="5" borderId="9" xfId="0" applyFont="1" applyFill="1" applyBorder="1" applyAlignment="1" applyProtection="1">
      <alignment horizontal="center"/>
      <protection hidden="1"/>
    </xf>
    <xf numFmtId="0" fontId="6" fillId="5" borderId="10" xfId="0" applyFont="1" applyFill="1" applyBorder="1" applyAlignment="1" applyProtection="1">
      <alignment horizontal="center"/>
      <protection hidden="1"/>
    </xf>
    <xf numFmtId="0" fontId="17" fillId="0" borderId="78" xfId="0" applyFont="1" applyBorder="1" applyProtection="1">
      <protection hidden="1"/>
    </xf>
    <xf numFmtId="0" fontId="17" fillId="0" borderId="52" xfId="0" applyFont="1" applyBorder="1" applyProtection="1">
      <protection hidden="1"/>
    </xf>
    <xf numFmtId="0" fontId="17" fillId="0" borderId="79" xfId="0" applyFont="1" applyBorder="1" applyProtection="1">
      <protection hidden="1"/>
    </xf>
    <xf numFmtId="0" fontId="6" fillId="0" borderId="80" xfId="0" applyFont="1" applyBorder="1" applyProtection="1">
      <protection hidden="1"/>
    </xf>
    <xf numFmtId="164" fontId="17" fillId="0" borderId="67" xfId="0" applyNumberFormat="1" applyFont="1" applyBorder="1" applyProtection="1">
      <protection hidden="1"/>
    </xf>
    <xf numFmtId="0" fontId="17" fillId="0" borderId="80" xfId="0" applyFont="1" applyBorder="1" applyProtection="1">
      <protection hidden="1"/>
    </xf>
    <xf numFmtId="164" fontId="17" fillId="0" borderId="68" xfId="0" applyNumberFormat="1" applyFont="1" applyBorder="1" applyProtection="1">
      <protection hidden="1"/>
    </xf>
    <xf numFmtId="164" fontId="17" fillId="0" borderId="75" xfId="0" applyNumberFormat="1" applyFont="1" applyBorder="1" applyProtection="1">
      <protection hidden="1"/>
    </xf>
    <xf numFmtId="0" fontId="6" fillId="3" borderId="71" xfId="0" applyFont="1" applyFill="1" applyBorder="1" applyProtection="1">
      <protection hidden="1"/>
    </xf>
    <xf numFmtId="164" fontId="6" fillId="3" borderId="81" xfId="0" applyNumberFormat="1" applyFont="1" applyFill="1" applyBorder="1" applyProtection="1">
      <protection hidden="1"/>
    </xf>
    <xf numFmtId="164" fontId="6" fillId="3" borderId="1" xfId="0" applyNumberFormat="1" applyFont="1" applyFill="1" applyBorder="1" applyProtection="1">
      <protection hidden="1"/>
    </xf>
    <xf numFmtId="164" fontId="6" fillId="3" borderId="11" xfId="0" applyNumberFormat="1" applyFont="1" applyFill="1" applyBorder="1" applyProtection="1">
      <protection hidden="1"/>
    </xf>
    <xf numFmtId="49" fontId="17" fillId="0" borderId="0" xfId="0" applyNumberFormat="1" applyFont="1" applyFill="1" applyBorder="1" applyAlignment="1" applyProtection="1">
      <alignment horizontal="center"/>
      <protection locked="0"/>
    </xf>
    <xf numFmtId="49" fontId="17" fillId="0" borderId="2" xfId="0" applyNumberFormat="1" applyFont="1" applyFill="1" applyBorder="1" applyAlignment="1" applyProtection="1">
      <alignment horizontal="center"/>
      <protection locked="0"/>
    </xf>
    <xf numFmtId="49" fontId="17" fillId="0" borderId="8" xfId="0" applyNumberFormat="1" applyFont="1" applyFill="1" applyBorder="1" applyAlignment="1" applyProtection="1">
      <alignment horizontal="center"/>
      <protection locked="0"/>
    </xf>
    <xf numFmtId="0" fontId="17" fillId="4" borderId="26" xfId="0" applyFont="1" applyFill="1" applyBorder="1" applyProtection="1">
      <protection locked="0"/>
    </xf>
    <xf numFmtId="164" fontId="17" fillId="4" borderId="12" xfId="0" applyNumberFormat="1" applyFont="1" applyFill="1" applyBorder="1" applyProtection="1">
      <protection locked="0"/>
    </xf>
    <xf numFmtId="164" fontId="17" fillId="17" borderId="2" xfId="0" applyNumberFormat="1" applyFont="1" applyFill="1" applyBorder="1" applyProtection="1">
      <protection hidden="1"/>
    </xf>
    <xf numFmtId="164" fontId="6" fillId="24" borderId="36" xfId="0" applyNumberFormat="1" applyFont="1" applyFill="1" applyBorder="1" applyProtection="1">
      <protection hidden="1"/>
    </xf>
    <xf numFmtId="164" fontId="6" fillId="24" borderId="37" xfId="0" applyNumberFormat="1" applyFont="1" applyFill="1" applyBorder="1" applyProtection="1">
      <protection hidden="1"/>
    </xf>
    <xf numFmtId="0" fontId="0" fillId="0" borderId="2" xfId="0" applyBorder="1"/>
    <xf numFmtId="0" fontId="0" fillId="0" borderId="29" xfId="0" applyBorder="1"/>
    <xf numFmtId="0" fontId="17" fillId="5" borderId="4" xfId="0" applyFont="1" applyFill="1" applyBorder="1" applyProtection="1">
      <protection hidden="1"/>
    </xf>
    <xf numFmtId="0" fontId="0" fillId="17" borderId="9" xfId="0" applyFill="1" applyBorder="1"/>
    <xf numFmtId="0" fontId="6" fillId="24" borderId="33" xfId="0" applyFont="1" applyFill="1" applyBorder="1" applyProtection="1">
      <protection hidden="1"/>
    </xf>
    <xf numFmtId="0" fontId="0" fillId="24" borderId="36" xfId="0" applyFill="1" applyBorder="1"/>
    <xf numFmtId="0" fontId="17" fillId="0" borderId="30" xfId="0" applyFont="1" applyBorder="1" applyProtection="1">
      <protection hidden="1"/>
    </xf>
    <xf numFmtId="0" fontId="26" fillId="0" borderId="23" xfId="0" applyFont="1" applyBorder="1"/>
    <xf numFmtId="0" fontId="26" fillId="0" borderId="0" xfId="0" applyFont="1" applyBorder="1"/>
    <xf numFmtId="0" fontId="26" fillId="0" borderId="28" xfId="0" applyFont="1" applyBorder="1"/>
    <xf numFmtId="0" fontId="67" fillId="23" borderId="4" xfId="0" applyFont="1" applyFill="1" applyBorder="1"/>
    <xf numFmtId="0" fontId="17" fillId="0" borderId="9" xfId="0" applyFont="1" applyBorder="1"/>
    <xf numFmtId="0" fontId="17" fillId="0" borderId="10" xfId="0" applyFont="1" applyBorder="1"/>
    <xf numFmtId="0" fontId="17" fillId="24" borderId="3" xfId="0" applyFont="1" applyFill="1" applyBorder="1"/>
    <xf numFmtId="0" fontId="17" fillId="0" borderId="6" xfId="0" applyFont="1" applyBorder="1"/>
    <xf numFmtId="0" fontId="17" fillId="0" borderId="29" xfId="0" applyFont="1" applyBorder="1"/>
    <xf numFmtId="0" fontId="67" fillId="17" borderId="4" xfId="0" applyFont="1" applyFill="1" applyBorder="1" applyProtection="1">
      <protection hidden="1"/>
    </xf>
    <xf numFmtId="0" fontId="6" fillId="0" borderId="4" xfId="0" applyFont="1" applyFill="1" applyBorder="1" applyProtection="1">
      <protection hidden="1"/>
    </xf>
    <xf numFmtId="0" fontId="26" fillId="0" borderId="9" xfId="0" applyFont="1" applyBorder="1"/>
    <xf numFmtId="0" fontId="26" fillId="0" borderId="10" xfId="0" applyFont="1" applyBorder="1"/>
    <xf numFmtId="0" fontId="6" fillId="0" borderId="5" xfId="0" applyFont="1" applyBorder="1"/>
    <xf numFmtId="0" fontId="26" fillId="0" borderId="8" xfId="0" applyFont="1" applyBorder="1"/>
    <xf numFmtId="0" fontId="17" fillId="20" borderId="5" xfId="0" applyFont="1" applyFill="1" applyBorder="1" applyProtection="1">
      <protection locked="0"/>
    </xf>
    <xf numFmtId="0" fontId="17" fillId="20" borderId="3" xfId="0" applyFont="1" applyFill="1" applyBorder="1" applyProtection="1">
      <protection locked="0"/>
    </xf>
    <xf numFmtId="0" fontId="26" fillId="0" borderId="1" xfId="0" applyFont="1" applyBorder="1"/>
    <xf numFmtId="1" fontId="56" fillId="0" borderId="0" xfId="0" applyNumberFormat="1" applyFont="1" applyProtection="1">
      <protection hidden="1"/>
    </xf>
    <xf numFmtId="0" fontId="9" fillId="0" borderId="21" xfId="0" applyNumberFormat="1" applyFont="1" applyBorder="1" applyProtection="1">
      <protection hidden="1"/>
    </xf>
    <xf numFmtId="164" fontId="17" fillId="0" borderId="7" xfId="0" applyNumberFormat="1" applyFont="1" applyBorder="1" applyProtection="1">
      <protection hidden="1"/>
    </xf>
    <xf numFmtId="164" fontId="9" fillId="0" borderId="8" xfId="0" applyNumberFormat="1" applyFont="1" applyFill="1" applyBorder="1" applyProtection="1">
      <protection hidden="1"/>
    </xf>
    <xf numFmtId="164" fontId="28" fillId="0" borderId="8" xfId="0" applyNumberFormat="1" applyFont="1" applyFill="1" applyBorder="1" applyProtection="1">
      <protection hidden="1"/>
    </xf>
    <xf numFmtId="0" fontId="63" fillId="0" borderId="5" xfId="0" applyFont="1" applyBorder="1" applyProtection="1">
      <protection hidden="1"/>
    </xf>
    <xf numFmtId="0" fontId="17" fillId="0" borderId="3" xfId="0" applyFont="1" applyFill="1" applyBorder="1"/>
    <xf numFmtId="0" fontId="17" fillId="22" borderId="1" xfId="0" applyFont="1" applyFill="1" applyBorder="1"/>
    <xf numFmtId="164" fontId="17" fillId="22" borderId="1" xfId="0" applyNumberFormat="1" applyFont="1" applyFill="1" applyBorder="1"/>
    <xf numFmtId="164" fontId="17" fillId="22" borderId="11" xfId="0" applyNumberFormat="1" applyFont="1" applyFill="1" applyBorder="1"/>
    <xf numFmtId="0" fontId="16" fillId="0" borderId="23" xfId="0" applyFont="1" applyBorder="1"/>
    <xf numFmtId="0" fontId="17" fillId="0" borderId="28" xfId="0" applyFont="1" applyBorder="1"/>
    <xf numFmtId="0" fontId="17" fillId="24" borderId="5" xfId="0" applyFont="1" applyFill="1" applyBorder="1"/>
    <xf numFmtId="164" fontId="6" fillId="22" borderId="1" xfId="0" applyNumberFormat="1" applyFont="1" applyFill="1" applyBorder="1"/>
    <xf numFmtId="164" fontId="6" fillId="22" borderId="11" xfId="0" applyNumberFormat="1" applyFont="1" applyFill="1" applyBorder="1"/>
    <xf numFmtId="0" fontId="68" fillId="0" borderId="0" xfId="0" applyFont="1"/>
    <xf numFmtId="0" fontId="56" fillId="0" borderId="30" xfId="0" applyNumberFormat="1" applyFont="1" applyFill="1" applyBorder="1" applyProtection="1">
      <protection hidden="1"/>
    </xf>
    <xf numFmtId="0" fontId="17" fillId="0" borderId="3" xfId="0" applyFont="1" applyFill="1" applyBorder="1" applyProtection="1"/>
    <xf numFmtId="0" fontId="14" fillId="4" borderId="0" xfId="0" applyFont="1" applyFill="1" applyProtection="1">
      <protection hidden="1"/>
    </xf>
    <xf numFmtId="0" fontId="17" fillId="0" borderId="0" xfId="0" applyFont="1" applyProtection="1">
      <protection hidden="1"/>
    </xf>
    <xf numFmtId="0" fontId="17" fillId="4" borderId="0" xfId="0" applyFont="1" applyFill="1" applyProtection="1">
      <protection hidden="1"/>
    </xf>
    <xf numFmtId="164" fontId="17" fillId="0" borderId="73" xfId="0" applyNumberFormat="1" applyFont="1" applyFill="1" applyBorder="1" applyProtection="1">
      <protection hidden="1"/>
    </xf>
    <xf numFmtId="164" fontId="6" fillId="0" borderId="17" xfId="0" applyNumberFormat="1" applyFont="1" applyFill="1" applyBorder="1" applyProtection="1">
      <protection hidden="1"/>
    </xf>
    <xf numFmtId="1" fontId="17" fillId="0" borderId="0" xfId="0" applyNumberFormat="1" applyFont="1" applyFill="1" applyBorder="1" applyAlignment="1" applyProtection="1">
      <alignment horizontal="center"/>
      <protection hidden="1"/>
    </xf>
    <xf numFmtId="0" fontId="14" fillId="4" borderId="0" xfId="0" applyFont="1" applyFill="1" applyBorder="1" applyProtection="1">
      <protection hidden="1"/>
    </xf>
    <xf numFmtId="0" fontId="17" fillId="4" borderId="0" xfId="0" applyFont="1" applyFill="1" applyBorder="1" applyProtection="1">
      <protection hidden="1"/>
    </xf>
    <xf numFmtId="0" fontId="25" fillId="0" borderId="51" xfId="0" applyFont="1" applyBorder="1" applyProtection="1">
      <protection hidden="1"/>
    </xf>
    <xf numFmtId="0" fontId="14" fillId="0" borderId="52" xfId="0" applyFont="1" applyBorder="1" applyProtection="1">
      <protection hidden="1"/>
    </xf>
    <xf numFmtId="0" fontId="17" fillId="0" borderId="52" xfId="0" applyFont="1" applyFill="1" applyBorder="1" applyProtection="1">
      <protection hidden="1"/>
    </xf>
    <xf numFmtId="0" fontId="17" fillId="0" borderId="53" xfId="0" applyFont="1" applyBorder="1" applyProtection="1">
      <protection hidden="1"/>
    </xf>
    <xf numFmtId="0" fontId="14" fillId="0" borderId="0" xfId="0" applyFont="1" applyAlignment="1" applyProtection="1">
      <alignment horizontal="center"/>
      <protection hidden="1"/>
    </xf>
    <xf numFmtId="0" fontId="17" fillId="0" borderId="74" xfId="0" applyFont="1" applyBorder="1" applyProtection="1">
      <protection hidden="1"/>
    </xf>
    <xf numFmtId="164" fontId="17" fillId="5" borderId="66" xfId="0" applyNumberFormat="1" applyFont="1" applyFill="1" applyBorder="1" applyProtection="1">
      <protection hidden="1"/>
    </xf>
    <xf numFmtId="0" fontId="6" fillId="0" borderId="41" xfId="0" applyFont="1" applyBorder="1" applyProtection="1">
      <protection hidden="1"/>
    </xf>
    <xf numFmtId="0" fontId="17" fillId="0" borderId="55" xfId="0" applyFont="1" applyBorder="1" applyProtection="1">
      <protection hidden="1"/>
    </xf>
    <xf numFmtId="164" fontId="17" fillId="5" borderId="75" xfId="0" applyNumberFormat="1" applyFont="1" applyFill="1" applyBorder="1" applyProtection="1">
      <protection hidden="1"/>
    </xf>
    <xf numFmtId="164" fontId="6" fillId="0" borderId="0" xfId="0" applyNumberFormat="1" applyFont="1" applyAlignment="1" applyProtection="1">
      <alignment horizontal="center"/>
      <protection hidden="1"/>
    </xf>
    <xf numFmtId="0" fontId="17" fillId="0" borderId="0" xfId="0" applyFont="1" applyAlignment="1" applyProtection="1">
      <alignment horizontal="center"/>
      <protection hidden="1"/>
    </xf>
    <xf numFmtId="164" fontId="17" fillId="0" borderId="0" xfId="0" applyNumberFormat="1" applyFont="1" applyProtection="1">
      <protection hidden="1"/>
    </xf>
    <xf numFmtId="0" fontId="17" fillId="20" borderId="0" xfId="0" applyFont="1" applyFill="1" applyBorder="1" applyProtection="1">
      <protection hidden="1"/>
    </xf>
    <xf numFmtId="0" fontId="17" fillId="20" borderId="0" xfId="0" applyFont="1" applyFill="1" applyProtection="1">
      <protection hidden="1"/>
    </xf>
    <xf numFmtId="1" fontId="56" fillId="0" borderId="17" xfId="0" applyNumberFormat="1" applyFont="1" applyFill="1" applyBorder="1" applyAlignment="1" applyProtection="1">
      <alignment horizontal="center"/>
      <protection hidden="1"/>
    </xf>
    <xf numFmtId="0" fontId="69" fillId="0" borderId="2" xfId="0" applyNumberFormat="1" applyFont="1" applyFill="1" applyBorder="1" applyAlignment="1" applyProtection="1">
      <alignment horizontal="center"/>
      <protection hidden="1"/>
    </xf>
    <xf numFmtId="0" fontId="69" fillId="0" borderId="8" xfId="0" applyNumberFormat="1" applyFont="1" applyFill="1" applyBorder="1" applyAlignment="1" applyProtection="1">
      <alignment horizontal="center"/>
      <protection hidden="1"/>
    </xf>
    <xf numFmtId="164" fontId="24" fillId="0" borderId="0" xfId="0" applyNumberFormat="1" applyFont="1" applyAlignment="1">
      <alignment horizontal="center"/>
    </xf>
    <xf numFmtId="0" fontId="20" fillId="25" borderId="0" xfId="0" applyFont="1" applyFill="1"/>
    <xf numFmtId="14" fontId="20" fillId="25" borderId="0" xfId="0" applyNumberFormat="1" applyFont="1" applyFill="1"/>
    <xf numFmtId="164" fontId="18" fillId="25" borderId="0" xfId="0" applyNumberFormat="1" applyFont="1" applyFill="1"/>
    <xf numFmtId="164" fontId="20" fillId="25" borderId="0" xfId="0" applyNumberFormat="1" applyFont="1" applyFill="1"/>
    <xf numFmtId="0" fontId="18" fillId="25" borderId="0" xfId="0" applyFont="1" applyFill="1"/>
    <xf numFmtId="0" fontId="70" fillId="0" borderId="0" xfId="0" applyFont="1"/>
    <xf numFmtId="164" fontId="70" fillId="0" borderId="0" xfId="0" applyNumberFormat="1" applyFont="1"/>
    <xf numFmtId="164" fontId="26" fillId="0" borderId="0" xfId="0" applyNumberFormat="1" applyFont="1"/>
    <xf numFmtId="49" fontId="70" fillId="0" borderId="0" xfId="0" applyNumberFormat="1" applyFont="1" applyAlignment="1">
      <alignment horizontal="center"/>
    </xf>
    <xf numFmtId="0" fontId="6" fillId="5" borderId="2" xfId="0" applyFont="1" applyFill="1" applyBorder="1" applyAlignment="1" applyProtection="1">
      <alignment horizontal="center"/>
      <protection hidden="1"/>
    </xf>
    <xf numFmtId="0" fontId="17" fillId="0" borderId="21" xfId="0" applyFont="1" applyBorder="1" applyProtection="1">
      <protection hidden="1"/>
    </xf>
    <xf numFmtId="0" fontId="17" fillId="0" borderId="7" xfId="0" applyFont="1" applyBorder="1" applyProtection="1">
      <protection hidden="1"/>
    </xf>
    <xf numFmtId="0" fontId="17" fillId="0" borderId="5" xfId="0" applyFont="1" applyFill="1" applyBorder="1" applyProtection="1">
      <protection hidden="1"/>
    </xf>
    <xf numFmtId="0" fontId="17" fillId="0" borderId="21" xfId="0" applyFont="1" applyFill="1" applyBorder="1" applyProtection="1">
      <protection hidden="1"/>
    </xf>
    <xf numFmtId="0" fontId="17" fillId="0" borderId="24" xfId="0" applyFont="1" applyFill="1" applyBorder="1" applyProtection="1">
      <protection hidden="1"/>
    </xf>
    <xf numFmtId="0" fontId="17" fillId="0" borderId="3" xfId="0" applyFont="1" applyFill="1" applyBorder="1" applyProtection="1">
      <protection hidden="1"/>
    </xf>
    <xf numFmtId="0" fontId="17" fillId="0" borderId="23" xfId="0" applyFont="1" applyFill="1" applyBorder="1" applyProtection="1">
      <protection hidden="1"/>
    </xf>
    <xf numFmtId="164" fontId="17" fillId="0" borderId="14" xfId="0" applyNumberFormat="1" applyFont="1" applyFill="1" applyBorder="1"/>
    <xf numFmtId="1" fontId="17" fillId="0" borderId="17" xfId="0" applyNumberFormat="1" applyFont="1" applyFill="1" applyBorder="1" applyAlignment="1" applyProtection="1">
      <alignment horizontal="center"/>
      <protection hidden="1"/>
    </xf>
    <xf numFmtId="0" fontId="17" fillId="0" borderId="4" xfId="0" applyFont="1" applyBorder="1" applyProtection="1">
      <protection hidden="1"/>
    </xf>
    <xf numFmtId="1" fontId="17" fillId="0" borderId="32" xfId="0" applyNumberFormat="1" applyFont="1" applyFill="1" applyBorder="1" applyAlignment="1" applyProtection="1">
      <alignment horizontal="center"/>
      <protection hidden="1"/>
    </xf>
    <xf numFmtId="164" fontId="17" fillId="0" borderId="82" xfId="0" applyNumberFormat="1" applyFont="1" applyFill="1" applyBorder="1"/>
    <xf numFmtId="164" fontId="6" fillId="0" borderId="83" xfId="0" applyNumberFormat="1" applyFont="1" applyFill="1" applyBorder="1"/>
    <xf numFmtId="164" fontId="17" fillId="0" borderId="19" xfId="0" applyNumberFormat="1" applyFont="1" applyBorder="1"/>
    <xf numFmtId="164" fontId="17" fillId="0" borderId="20" xfId="0" applyNumberFormat="1" applyFont="1" applyBorder="1"/>
    <xf numFmtId="164" fontId="28" fillId="0" borderId="7" xfId="0" applyNumberFormat="1" applyFont="1" applyFill="1" applyBorder="1" applyProtection="1">
      <protection locked="0"/>
    </xf>
    <xf numFmtId="164" fontId="17" fillId="0" borderId="84" xfId="0" applyNumberFormat="1" applyFont="1" applyBorder="1" applyProtection="1">
      <protection hidden="1"/>
    </xf>
    <xf numFmtId="0" fontId="6" fillId="5" borderId="8" xfId="0" applyFont="1" applyFill="1" applyBorder="1" applyAlignment="1" applyProtection="1">
      <alignment horizontal="center"/>
      <protection hidden="1"/>
    </xf>
    <xf numFmtId="0" fontId="6" fillId="0" borderId="85" xfId="0" applyFont="1" applyFill="1" applyBorder="1" applyAlignment="1" applyProtection="1">
      <alignment horizontal="center"/>
      <protection hidden="1"/>
    </xf>
    <xf numFmtId="164" fontId="17" fillId="0" borderId="85" xfId="0" applyNumberFormat="1" applyFont="1" applyBorder="1" applyProtection="1">
      <protection hidden="1"/>
    </xf>
    <xf numFmtId="164" fontId="6" fillId="0" borderId="52" xfId="0" applyNumberFormat="1" applyFont="1" applyFill="1" applyBorder="1" applyProtection="1">
      <protection hidden="1"/>
    </xf>
    <xf numFmtId="164" fontId="6" fillId="0" borderId="79" xfId="0" applyNumberFormat="1" applyFont="1" applyFill="1" applyBorder="1" applyProtection="1">
      <protection hidden="1"/>
    </xf>
    <xf numFmtId="164" fontId="17" fillId="0" borderId="42" xfId="0" applyNumberFormat="1" applyFont="1" applyBorder="1" applyProtection="1">
      <protection hidden="1"/>
    </xf>
    <xf numFmtId="164" fontId="17" fillId="0" borderId="55" xfId="0" applyNumberFormat="1" applyFont="1" applyBorder="1" applyProtection="1">
      <protection hidden="1"/>
    </xf>
    <xf numFmtId="0" fontId="17" fillId="0" borderId="44" xfId="0" applyFont="1" applyBorder="1" applyProtection="1">
      <protection hidden="1"/>
    </xf>
    <xf numFmtId="0" fontId="6" fillId="0" borderId="9" xfId="0" applyFont="1" applyFill="1" applyBorder="1" applyAlignment="1" applyProtection="1">
      <alignment horizontal="center"/>
      <protection hidden="1"/>
    </xf>
    <xf numFmtId="0" fontId="15" fillId="27" borderId="24" xfId="0" applyFont="1" applyFill="1" applyBorder="1" applyProtection="1">
      <protection hidden="1"/>
    </xf>
    <xf numFmtId="0" fontId="15" fillId="27" borderId="18" xfId="0" applyFont="1" applyFill="1" applyBorder="1" applyProtection="1">
      <protection hidden="1"/>
    </xf>
    <xf numFmtId="0" fontId="33" fillId="27" borderId="5" xfId="0" applyFont="1" applyFill="1" applyBorder="1" applyProtection="1">
      <protection hidden="1"/>
    </xf>
    <xf numFmtId="0" fontId="33" fillId="27" borderId="24" xfId="0" applyFont="1" applyFill="1" applyBorder="1" applyProtection="1">
      <protection hidden="1"/>
    </xf>
    <xf numFmtId="164" fontId="17" fillId="0" borderId="19" xfId="0" applyNumberFormat="1" applyFont="1" applyBorder="1" applyProtection="1">
      <protection hidden="1"/>
    </xf>
    <xf numFmtId="0" fontId="15" fillId="28" borderId="33" xfId="0" applyFont="1" applyFill="1" applyBorder="1" applyProtection="1">
      <protection hidden="1"/>
    </xf>
    <xf numFmtId="164" fontId="28" fillId="0" borderId="2" xfId="0" applyNumberFormat="1" applyFont="1" applyBorder="1" applyProtection="1">
      <protection hidden="1"/>
    </xf>
    <xf numFmtId="0" fontId="74" fillId="0" borderId="6" xfId="0" applyNumberFormat="1" applyFont="1" applyBorder="1" applyAlignment="1" applyProtection="1">
      <alignment horizontal="center"/>
      <protection hidden="1"/>
    </xf>
    <xf numFmtId="0" fontId="33" fillId="27" borderId="86" xfId="0" applyFont="1" applyFill="1" applyBorder="1" applyProtection="1">
      <protection hidden="1"/>
    </xf>
    <xf numFmtId="0" fontId="15" fillId="28" borderId="24" xfId="0" applyFont="1" applyFill="1" applyBorder="1" applyProtection="1">
      <protection hidden="1"/>
    </xf>
    <xf numFmtId="0" fontId="6" fillId="0" borderId="54" xfId="0" applyFont="1" applyFill="1" applyBorder="1" applyProtection="1">
      <protection hidden="1"/>
    </xf>
    <xf numFmtId="0" fontId="17" fillId="0" borderId="84" xfId="0" applyNumberFormat="1" applyFont="1" applyFill="1" applyBorder="1" applyAlignment="1" applyProtection="1">
      <alignment horizontal="center"/>
      <protection hidden="1"/>
    </xf>
    <xf numFmtId="164" fontId="17" fillId="0" borderId="20" xfId="0" applyNumberFormat="1" applyFont="1" applyBorder="1" applyProtection="1">
      <protection hidden="1"/>
    </xf>
    <xf numFmtId="0" fontId="74" fillId="0" borderId="5" xfId="0" applyFont="1" applyFill="1" applyBorder="1" applyAlignment="1" applyProtection="1">
      <alignment horizontal="left"/>
      <protection hidden="1"/>
    </xf>
    <xf numFmtId="0" fontId="17" fillId="0" borderId="42" xfId="0" applyNumberFormat="1" applyFont="1" applyFill="1" applyBorder="1" applyAlignment="1" applyProtection="1">
      <alignment horizontal="center"/>
      <protection hidden="1"/>
    </xf>
    <xf numFmtId="0" fontId="6" fillId="0" borderId="2" xfId="0" applyNumberFormat="1" applyFont="1" applyBorder="1" applyAlignment="1" applyProtection="1">
      <alignment horizontal="center" vertical="center"/>
      <protection hidden="1"/>
    </xf>
    <xf numFmtId="164" fontId="28" fillId="0" borderId="22" xfId="0" applyNumberFormat="1" applyFont="1" applyFill="1" applyBorder="1" applyProtection="1">
      <protection locked="0"/>
    </xf>
    <xf numFmtId="0" fontId="33" fillId="27" borderId="21" xfId="0" applyFont="1" applyFill="1" applyBorder="1" applyProtection="1">
      <protection hidden="1"/>
    </xf>
    <xf numFmtId="0" fontId="6" fillId="0" borderId="52" xfId="0" applyFont="1" applyFill="1" applyBorder="1" applyAlignment="1" applyProtection="1">
      <alignment horizontal="center"/>
      <protection hidden="1"/>
    </xf>
    <xf numFmtId="0" fontId="17" fillId="0" borderId="24" xfId="0" applyFont="1" applyBorder="1" applyProtection="1">
      <protection hidden="1"/>
    </xf>
    <xf numFmtId="164" fontId="17" fillId="0" borderId="51" xfId="0" applyNumberFormat="1" applyFont="1" applyFill="1" applyBorder="1" applyProtection="1"/>
    <xf numFmtId="0" fontId="15" fillId="28" borderId="5" xfId="0" applyFont="1" applyFill="1" applyBorder="1" applyProtection="1">
      <protection hidden="1"/>
    </xf>
    <xf numFmtId="0" fontId="17" fillId="0" borderId="26" xfId="0" applyFont="1" applyFill="1" applyBorder="1" applyProtection="1">
      <protection hidden="1"/>
    </xf>
    <xf numFmtId="0" fontId="17" fillId="0" borderId="5" xfId="0" applyNumberFormat="1" applyFont="1" applyFill="1" applyBorder="1" applyAlignment="1" applyProtection="1">
      <alignment horizontal="left"/>
      <protection hidden="1"/>
    </xf>
    <xf numFmtId="0" fontId="6" fillId="0" borderId="53" xfId="0" applyFont="1" applyFill="1" applyBorder="1" applyAlignment="1" applyProtection="1">
      <alignment horizontal="center"/>
      <protection hidden="1"/>
    </xf>
    <xf numFmtId="0" fontId="6" fillId="0" borderId="8" xfId="0" applyNumberFormat="1" applyFont="1" applyBorder="1" applyAlignment="1" applyProtection="1">
      <alignment horizontal="center" vertical="center"/>
      <protection hidden="1"/>
    </xf>
    <xf numFmtId="164" fontId="28" fillId="0" borderId="0" xfId="0" applyNumberFormat="1" applyFont="1" applyFill="1" applyBorder="1" applyProtection="1">
      <protection locked="0"/>
    </xf>
    <xf numFmtId="164" fontId="28" fillId="0" borderId="0" xfId="0" applyNumberFormat="1" applyFont="1" applyFill="1" applyBorder="1"/>
    <xf numFmtId="0" fontId="74" fillId="0" borderId="25" xfId="0" applyNumberFormat="1" applyFont="1" applyBorder="1" applyAlignment="1" applyProtection="1">
      <alignment horizontal="center"/>
      <protection hidden="1"/>
    </xf>
    <xf numFmtId="0" fontId="75" fillId="0" borderId="41" xfId="0" applyFont="1" applyFill="1" applyBorder="1" applyAlignment="1" applyProtection="1">
      <alignment horizontal="center"/>
      <protection hidden="1"/>
    </xf>
    <xf numFmtId="3" fontId="76" fillId="0" borderId="2" xfId="0" applyNumberFormat="1" applyFont="1" applyFill="1" applyBorder="1" applyAlignment="1" applyProtection="1">
      <alignment horizontal="center"/>
      <protection hidden="1"/>
    </xf>
    <xf numFmtId="164" fontId="62" fillId="0" borderId="6" xfId="0" applyNumberFormat="1" applyFont="1" applyFill="1" applyBorder="1" applyProtection="1">
      <protection hidden="1"/>
    </xf>
    <xf numFmtId="164" fontId="62" fillId="0" borderId="2" xfId="0" applyNumberFormat="1" applyFont="1" applyFill="1" applyBorder="1" applyProtection="1">
      <protection hidden="1"/>
    </xf>
    <xf numFmtId="0" fontId="57" fillId="0" borderId="2" xfId="0" applyNumberFormat="1" applyFont="1" applyFill="1" applyBorder="1" applyAlignment="1" applyProtection="1">
      <alignment horizontal="center"/>
      <protection hidden="1"/>
    </xf>
    <xf numFmtId="0" fontId="57" fillId="0" borderId="52" xfId="0" applyNumberFormat="1" applyFont="1" applyFill="1" applyBorder="1" applyAlignment="1" applyProtection="1">
      <alignment horizontal="center"/>
      <protection hidden="1"/>
    </xf>
    <xf numFmtId="0" fontId="57" fillId="0" borderId="41" xfId="0" applyNumberFormat="1" applyFont="1" applyFill="1" applyBorder="1" applyAlignment="1" applyProtection="1">
      <alignment horizontal="center"/>
      <protection hidden="1"/>
    </xf>
    <xf numFmtId="164" fontId="75" fillId="0" borderId="36" xfId="0" applyNumberFormat="1" applyFont="1" applyFill="1" applyBorder="1" applyProtection="1">
      <protection hidden="1"/>
    </xf>
    <xf numFmtId="164" fontId="62" fillId="0" borderId="83" xfId="0" applyNumberFormat="1" applyFont="1" applyFill="1" applyBorder="1" applyProtection="1">
      <protection hidden="1"/>
    </xf>
    <xf numFmtId="0" fontId="76" fillId="0" borderId="75" xfId="0" applyNumberFormat="1" applyFont="1" applyFill="1" applyBorder="1" applyAlignment="1" applyProtection="1">
      <alignment horizontal="center"/>
      <protection hidden="1"/>
    </xf>
    <xf numFmtId="164" fontId="77" fillId="0" borderId="2" xfId="0" applyNumberFormat="1" applyFont="1" applyFill="1" applyBorder="1" applyAlignment="1" applyProtection="1">
      <alignment horizontal="center"/>
      <protection hidden="1"/>
    </xf>
    <xf numFmtId="164" fontId="77" fillId="0" borderId="84" xfId="0" applyNumberFormat="1" applyFont="1" applyFill="1" applyBorder="1" applyAlignment="1" applyProtection="1">
      <alignment horizontal="center"/>
      <protection hidden="1"/>
    </xf>
    <xf numFmtId="164" fontId="57" fillId="0" borderId="41" xfId="0" applyNumberFormat="1" applyFont="1" applyFill="1" applyBorder="1" applyAlignment="1" applyProtection="1">
      <alignment horizontal="center"/>
      <protection hidden="1"/>
    </xf>
    <xf numFmtId="164" fontId="57" fillId="0" borderId="6" xfId="0" applyNumberFormat="1" applyFont="1" applyFill="1" applyBorder="1" applyAlignment="1" applyProtection="1">
      <alignment horizontal="center"/>
      <protection hidden="1"/>
    </xf>
    <xf numFmtId="164" fontId="77" fillId="0" borderId="36" xfId="0" applyNumberFormat="1" applyFont="1" applyFill="1" applyBorder="1" applyAlignment="1" applyProtection="1">
      <alignment horizontal="center"/>
      <protection hidden="1"/>
    </xf>
    <xf numFmtId="0" fontId="17" fillId="0" borderId="16" xfId="0" applyFont="1" applyFill="1" applyBorder="1" applyAlignment="1" applyProtection="1">
      <protection hidden="1"/>
    </xf>
    <xf numFmtId="164" fontId="62" fillId="0" borderId="17" xfId="0" applyNumberFormat="1" applyFont="1" applyFill="1" applyBorder="1" applyAlignment="1" applyProtection="1">
      <protection hidden="1"/>
    </xf>
    <xf numFmtId="14" fontId="5" fillId="0" borderId="17" xfId="0" applyNumberFormat="1" applyFont="1" applyFill="1" applyBorder="1" applyAlignment="1" applyProtection="1">
      <alignment horizontal="center"/>
      <protection hidden="1"/>
    </xf>
    <xf numFmtId="14" fontId="5" fillId="0" borderId="32" xfId="0" applyNumberFormat="1" applyFont="1" applyFill="1" applyBorder="1" applyAlignment="1" applyProtection="1">
      <alignment horizontal="center"/>
      <protection hidden="1"/>
    </xf>
    <xf numFmtId="1" fontId="17" fillId="0" borderId="67" xfId="0" applyNumberFormat="1" applyFont="1" applyFill="1" applyBorder="1" applyAlignment="1" applyProtection="1">
      <alignment horizontal="center"/>
      <protection hidden="1"/>
    </xf>
    <xf numFmtId="1" fontId="17" fillId="0" borderId="81" xfId="0" applyNumberFormat="1" applyFont="1" applyFill="1" applyBorder="1" applyAlignment="1" applyProtection="1">
      <alignment horizontal="center"/>
      <protection hidden="1"/>
    </xf>
    <xf numFmtId="1" fontId="17" fillId="0" borderId="1" xfId="0" applyNumberFormat="1" applyFont="1" applyFill="1" applyBorder="1" applyAlignment="1" applyProtection="1">
      <alignment horizontal="center"/>
      <protection hidden="1"/>
    </xf>
    <xf numFmtId="1" fontId="17" fillId="0" borderId="11" xfId="0" applyNumberFormat="1" applyFont="1" applyFill="1" applyBorder="1" applyAlignment="1" applyProtection="1">
      <alignment horizontal="center"/>
      <protection hidden="1"/>
    </xf>
    <xf numFmtId="164" fontId="17" fillId="0" borderId="15" xfId="0" applyNumberFormat="1" applyFont="1" applyFill="1" applyBorder="1" applyProtection="1"/>
    <xf numFmtId="0" fontId="5" fillId="29" borderId="4" xfId="0" applyFont="1" applyFill="1" applyBorder="1" applyAlignment="1">
      <alignment vertical="center"/>
    </xf>
    <xf numFmtId="164" fontId="15" fillId="28" borderId="2" xfId="0" applyNumberFormat="1" applyFont="1" applyFill="1" applyBorder="1" applyAlignment="1" applyProtection="1">
      <alignment horizontal="right"/>
      <protection hidden="1"/>
    </xf>
    <xf numFmtId="164" fontId="15" fillId="28" borderId="1" xfId="0" applyNumberFormat="1" applyFont="1" applyFill="1" applyBorder="1" applyAlignment="1" applyProtection="1">
      <alignment horizontal="right"/>
      <protection hidden="1"/>
    </xf>
    <xf numFmtId="164" fontId="15" fillId="28" borderId="6" xfId="0" applyNumberFormat="1" applyFont="1" applyFill="1" applyBorder="1" applyAlignment="1" applyProtection="1">
      <alignment horizontal="right"/>
      <protection hidden="1"/>
    </xf>
    <xf numFmtId="164" fontId="15" fillId="28" borderId="25" xfId="0" applyNumberFormat="1" applyFont="1" applyFill="1" applyBorder="1" applyAlignment="1" applyProtection="1">
      <alignment horizontal="right"/>
      <protection hidden="1"/>
    </xf>
    <xf numFmtId="164" fontId="15" fillId="28" borderId="11" xfId="0" applyNumberFormat="1" applyFont="1" applyFill="1" applyBorder="1" applyAlignment="1" applyProtection="1">
      <alignment horizontal="right"/>
      <protection hidden="1"/>
    </xf>
    <xf numFmtId="164" fontId="15" fillId="28" borderId="8" xfId="0" applyNumberFormat="1" applyFont="1" applyFill="1" applyBorder="1" applyAlignment="1" applyProtection="1">
      <alignment horizontal="right"/>
      <protection hidden="1"/>
    </xf>
    <xf numFmtId="164" fontId="57" fillId="0" borderId="2" xfId="0" applyNumberFormat="1" applyFont="1" applyFill="1" applyBorder="1" applyAlignment="1" applyProtection="1">
      <alignment horizontal="center"/>
      <protection hidden="1"/>
    </xf>
    <xf numFmtId="164" fontId="62" fillId="0" borderId="2" xfId="0" applyNumberFormat="1" applyFont="1" applyFill="1" applyBorder="1"/>
    <xf numFmtId="164" fontId="62" fillId="0" borderId="7" xfId="0" applyNumberFormat="1" applyFont="1" applyFill="1" applyBorder="1"/>
    <xf numFmtId="164" fontId="57" fillId="0" borderId="7" xfId="0" applyNumberFormat="1" applyFont="1" applyFill="1" applyBorder="1" applyAlignment="1">
      <alignment horizontal="center"/>
    </xf>
    <xf numFmtId="164" fontId="57" fillId="0" borderId="1" xfId="0" applyNumberFormat="1" applyFont="1" applyFill="1" applyBorder="1" applyAlignment="1">
      <alignment horizontal="center"/>
    </xf>
    <xf numFmtId="164" fontId="62" fillId="0" borderId="6" xfId="0" applyNumberFormat="1" applyFont="1" applyFill="1" applyBorder="1"/>
    <xf numFmtId="164" fontId="62" fillId="0" borderId="1" xfId="0" applyNumberFormat="1" applyFont="1" applyFill="1" applyBorder="1"/>
    <xf numFmtId="164" fontId="17" fillId="0" borderId="22" xfId="0" applyNumberFormat="1" applyFont="1" applyBorder="1" applyProtection="1">
      <protection hidden="1"/>
    </xf>
    <xf numFmtId="164" fontId="37" fillId="0" borderId="2" xfId="0" applyNumberFormat="1" applyFont="1" applyFill="1" applyBorder="1" applyAlignment="1" applyProtection="1">
      <alignment vertical="center"/>
      <protection hidden="1"/>
    </xf>
    <xf numFmtId="164" fontId="37" fillId="0" borderId="8" xfId="0" applyNumberFormat="1" applyFont="1" applyFill="1" applyBorder="1" applyAlignment="1" applyProtection="1">
      <alignment vertical="center"/>
      <protection hidden="1"/>
    </xf>
    <xf numFmtId="14" fontId="26" fillId="0" borderId="0" xfId="0" applyNumberFormat="1" applyFont="1"/>
    <xf numFmtId="14" fontId="70" fillId="0" borderId="0" xfId="0" applyNumberFormat="1" applyFont="1"/>
    <xf numFmtId="164" fontId="81" fillId="0" borderId="2" xfId="2" applyNumberFormat="1" applyFont="1" applyFill="1" applyBorder="1" applyAlignment="1">
      <alignment horizontal="center" vertical="center"/>
    </xf>
    <xf numFmtId="164" fontId="17" fillId="0" borderId="25" xfId="1" applyNumberFormat="1" applyFont="1" applyBorder="1" applyProtection="1">
      <protection hidden="1"/>
    </xf>
    <xf numFmtId="164" fontId="82" fillId="5" borderId="2" xfId="0" applyNumberFormat="1" applyFont="1" applyFill="1" applyBorder="1" applyProtection="1">
      <protection hidden="1"/>
    </xf>
    <xf numFmtId="0" fontId="17" fillId="0" borderId="0" xfId="0" applyFont="1" applyProtection="1"/>
    <xf numFmtId="0" fontId="17" fillId="0" borderId="2" xfId="0" applyFont="1" applyBorder="1" applyProtection="1"/>
    <xf numFmtId="0" fontId="17" fillId="0" borderId="0" xfId="0" applyFont="1" applyBorder="1" applyProtection="1"/>
    <xf numFmtId="0" fontId="17" fillId="0" borderId="5" xfId="0" applyFont="1" applyBorder="1" applyProtection="1"/>
    <xf numFmtId="0" fontId="17" fillId="0" borderId="1" xfId="0" applyFont="1" applyBorder="1" applyProtection="1"/>
    <xf numFmtId="164" fontId="17" fillId="5" borderId="2" xfId="0" applyNumberFormat="1" applyFont="1" applyFill="1" applyBorder="1" applyAlignment="1" applyProtection="1">
      <alignment horizontal="center"/>
    </xf>
    <xf numFmtId="164" fontId="62" fillId="0" borderId="2" xfId="0" applyNumberFormat="1" applyFont="1" applyBorder="1" applyProtection="1"/>
    <xf numFmtId="0" fontId="17" fillId="32" borderId="5" xfId="0" applyFont="1" applyFill="1" applyBorder="1" applyProtection="1"/>
    <xf numFmtId="0" fontId="17" fillId="33" borderId="5" xfId="0" applyFont="1" applyFill="1" applyBorder="1" applyProtection="1"/>
    <xf numFmtId="0" fontId="17" fillId="34" borderId="5" xfId="0" applyFont="1" applyFill="1" applyBorder="1" applyProtection="1"/>
    <xf numFmtId="0" fontId="17" fillId="34" borderId="3" xfId="0" applyFont="1" applyFill="1" applyBorder="1" applyProtection="1"/>
    <xf numFmtId="9" fontId="17" fillId="0" borderId="2" xfId="0" applyNumberFormat="1" applyFont="1" applyBorder="1" applyAlignment="1" applyProtection="1">
      <alignment horizontal="center"/>
    </xf>
    <xf numFmtId="9" fontId="17" fillId="0" borderId="8" xfId="0" applyNumberFormat="1" applyFont="1" applyBorder="1" applyAlignment="1" applyProtection="1">
      <alignment horizontal="center"/>
    </xf>
    <xf numFmtId="164" fontId="17" fillId="0" borderId="7" xfId="0" applyNumberFormat="1" applyFont="1" applyBorder="1" applyProtection="1"/>
    <xf numFmtId="0" fontId="74" fillId="0" borderId="24" xfId="0" applyFont="1" applyFill="1" applyBorder="1" applyAlignment="1">
      <alignment horizontal="left" vertical="center"/>
    </xf>
    <xf numFmtId="0" fontId="17" fillId="0" borderId="28" xfId="0" applyFont="1" applyBorder="1" applyProtection="1"/>
    <xf numFmtId="164" fontId="17" fillId="0" borderId="22" xfId="0" applyNumberFormat="1" applyFont="1" applyBorder="1" applyProtection="1"/>
    <xf numFmtId="0" fontId="17" fillId="0" borderId="41" xfId="0" applyFont="1" applyBorder="1" applyProtection="1"/>
    <xf numFmtId="0" fontId="17" fillId="0" borderId="55" xfId="0" applyFont="1" applyBorder="1" applyProtection="1"/>
    <xf numFmtId="0" fontId="17" fillId="0" borderId="42" xfId="0" applyFont="1" applyBorder="1" applyProtection="1"/>
    <xf numFmtId="0" fontId="9" fillId="0" borderId="4" xfId="0" applyFont="1" applyBorder="1" applyProtection="1">
      <protection hidden="1"/>
    </xf>
    <xf numFmtId="0" fontId="9" fillId="0" borderId="0" xfId="0" applyFont="1" applyFill="1" applyBorder="1" applyAlignment="1" applyProtection="1">
      <alignment horizontal="center"/>
      <protection hidden="1"/>
    </xf>
    <xf numFmtId="0" fontId="10" fillId="21" borderId="9" xfId="0" applyFont="1" applyFill="1" applyBorder="1" applyAlignment="1" applyProtection="1">
      <alignment horizontal="center"/>
      <protection hidden="1"/>
    </xf>
    <xf numFmtId="0" fontId="10" fillId="21" borderId="10" xfId="0" applyFont="1" applyFill="1" applyBorder="1" applyAlignment="1" applyProtection="1">
      <alignment horizontal="center"/>
      <protection hidden="1"/>
    </xf>
    <xf numFmtId="1" fontId="6" fillId="21" borderId="2" xfId="0" applyNumberFormat="1" applyFont="1" applyFill="1" applyBorder="1" applyAlignment="1" applyProtection="1">
      <alignment horizontal="center"/>
      <protection hidden="1"/>
    </xf>
    <xf numFmtId="164" fontId="17" fillId="21" borderId="2" xfId="0" applyNumberFormat="1" applyFont="1" applyFill="1" applyBorder="1" applyProtection="1">
      <protection hidden="1"/>
    </xf>
    <xf numFmtId="0" fontId="10" fillId="21" borderId="2" xfId="0" applyFont="1" applyFill="1" applyBorder="1" applyAlignment="1" applyProtection="1">
      <alignment horizontal="center"/>
      <protection hidden="1"/>
    </xf>
    <xf numFmtId="0" fontId="10" fillId="21" borderId="8" xfId="0" applyFont="1" applyFill="1" applyBorder="1" applyAlignment="1" applyProtection="1">
      <alignment horizontal="center"/>
      <protection hidden="1"/>
    </xf>
    <xf numFmtId="164" fontId="17" fillId="21" borderId="29" xfId="0" applyNumberFormat="1" applyFont="1" applyFill="1" applyBorder="1" applyProtection="1">
      <protection hidden="1"/>
    </xf>
    <xf numFmtId="164" fontId="17" fillId="21" borderId="38" xfId="0" applyNumberFormat="1" applyFont="1" applyFill="1" applyBorder="1" applyProtection="1">
      <protection hidden="1"/>
    </xf>
    <xf numFmtId="0" fontId="6" fillId="21" borderId="33" xfId="0" applyFont="1" applyFill="1" applyBorder="1" applyProtection="1">
      <protection hidden="1"/>
    </xf>
    <xf numFmtId="164" fontId="9" fillId="0" borderId="0" xfId="0" applyNumberFormat="1" applyFont="1" applyProtection="1">
      <protection hidden="1"/>
    </xf>
    <xf numFmtId="164" fontId="9" fillId="35" borderId="0" xfId="0" applyNumberFormat="1" applyFont="1" applyFill="1" applyProtection="1">
      <protection hidden="1"/>
    </xf>
    <xf numFmtId="3" fontId="84" fillId="0" borderId="0" xfId="0" applyNumberFormat="1" applyFont="1" applyBorder="1" applyAlignment="1">
      <alignment horizontal="center" vertical="center"/>
    </xf>
    <xf numFmtId="164" fontId="84" fillId="0" borderId="0" xfId="0" applyNumberFormat="1" applyFont="1" applyBorder="1" applyAlignment="1">
      <alignment vertical="center"/>
    </xf>
    <xf numFmtId="164" fontId="1" fillId="0" borderId="0" xfId="0" applyNumberFormat="1" applyFont="1" applyBorder="1" applyAlignment="1">
      <alignment vertical="center"/>
    </xf>
    <xf numFmtId="164" fontId="17" fillId="21" borderId="87" xfId="0" applyNumberFormat="1" applyFont="1" applyFill="1" applyBorder="1" applyProtection="1">
      <protection hidden="1"/>
    </xf>
    <xf numFmtId="164" fontId="29" fillId="0" borderId="0" xfId="0" applyNumberFormat="1" applyFont="1" applyFill="1" applyBorder="1" applyProtection="1">
      <protection hidden="1"/>
    </xf>
    <xf numFmtId="164" fontId="9" fillId="0" borderId="28" xfId="0" applyNumberFormat="1" applyFont="1" applyFill="1" applyBorder="1" applyProtection="1">
      <protection hidden="1"/>
    </xf>
    <xf numFmtId="164" fontId="17" fillId="0" borderId="2" xfId="0" applyNumberFormat="1" applyFont="1" applyBorder="1" applyAlignment="1" applyProtection="1">
      <alignment horizontal="right"/>
      <protection locked="0"/>
    </xf>
    <xf numFmtId="164" fontId="17" fillId="0" borderId="28" xfId="0" applyNumberFormat="1" applyFont="1" applyFill="1" applyBorder="1" applyAlignment="1" applyProtection="1">
      <alignment horizontal="center"/>
    </xf>
    <xf numFmtId="164" fontId="17" fillId="5" borderId="8" xfId="0" applyNumberFormat="1" applyFont="1" applyFill="1" applyBorder="1" applyAlignment="1" applyProtection="1">
      <alignment horizontal="center"/>
    </xf>
    <xf numFmtId="164" fontId="10" fillId="35" borderId="0" xfId="0" applyNumberFormat="1" applyFont="1" applyFill="1" applyProtection="1">
      <protection hidden="1"/>
    </xf>
    <xf numFmtId="0" fontId="10" fillId="0" borderId="0" xfId="0" applyFont="1" applyAlignment="1" applyProtection="1">
      <alignment horizontal="right"/>
      <protection hidden="1"/>
    </xf>
    <xf numFmtId="0" fontId="17" fillId="0" borderId="44" xfId="0" applyFont="1" applyBorder="1" applyProtection="1"/>
    <xf numFmtId="0" fontId="17" fillId="0" borderId="84" xfId="0" applyFont="1" applyBorder="1" applyProtection="1"/>
    <xf numFmtId="164" fontId="62" fillId="0" borderId="84" xfId="0" applyNumberFormat="1" applyFont="1" applyBorder="1" applyProtection="1"/>
    <xf numFmtId="164" fontId="62" fillId="0" borderId="85" xfId="0" applyNumberFormat="1" applyFont="1" applyBorder="1" applyProtection="1"/>
    <xf numFmtId="164" fontId="17" fillId="0" borderId="42" xfId="0" applyNumberFormat="1" applyFont="1" applyBorder="1" applyProtection="1"/>
    <xf numFmtId="164" fontId="17" fillId="0" borderId="55" xfId="0" applyNumberFormat="1" applyFont="1" applyBorder="1" applyProtection="1"/>
    <xf numFmtId="0" fontId="17" fillId="0" borderId="52" xfId="0" applyFont="1" applyBorder="1" applyProtection="1"/>
    <xf numFmtId="164" fontId="17" fillId="0" borderId="52" xfId="0" applyNumberFormat="1" applyFont="1" applyBorder="1" applyProtection="1"/>
    <xf numFmtId="164" fontId="17" fillId="0" borderId="28" xfId="0" applyNumberFormat="1" applyFont="1" applyBorder="1" applyProtection="1"/>
    <xf numFmtId="164" fontId="17" fillId="0" borderId="43" xfId="0" applyNumberFormat="1" applyFont="1" applyBorder="1" applyProtection="1"/>
    <xf numFmtId="164" fontId="17" fillId="0" borderId="62" xfId="0" applyNumberFormat="1" applyFont="1" applyBorder="1" applyProtection="1"/>
    <xf numFmtId="164" fontId="17" fillId="0" borderId="88" xfId="0" applyNumberFormat="1" applyFont="1" applyBorder="1" applyProtection="1"/>
    <xf numFmtId="168" fontId="17" fillId="0" borderId="2" xfId="0" applyNumberFormat="1" applyFont="1" applyBorder="1" applyAlignment="1" applyProtection="1">
      <alignment horizontal="right"/>
      <protection locked="0"/>
    </xf>
    <xf numFmtId="0" fontId="17" fillId="0" borderId="2" xfId="0" applyFont="1" applyBorder="1" applyAlignment="1" applyProtection="1">
      <alignment horizontal="right"/>
      <protection locked="0"/>
    </xf>
    <xf numFmtId="164" fontId="17" fillId="20" borderId="2" xfId="0" applyNumberFormat="1" applyFont="1" applyFill="1" applyBorder="1" applyProtection="1">
      <protection locked="0"/>
    </xf>
    <xf numFmtId="164" fontId="17" fillId="20" borderId="8" xfId="0" applyNumberFormat="1" applyFont="1" applyFill="1" applyBorder="1" applyProtection="1">
      <protection locked="0"/>
    </xf>
    <xf numFmtId="164" fontId="62" fillId="0" borderId="2" xfId="0" applyNumberFormat="1" applyFont="1" applyBorder="1" applyProtection="1">
      <protection locked="0"/>
    </xf>
    <xf numFmtId="164" fontId="62" fillId="0" borderId="8" xfId="0" applyNumberFormat="1" applyFont="1" applyBorder="1" applyProtection="1">
      <protection locked="0"/>
    </xf>
    <xf numFmtId="0" fontId="17" fillId="0" borderId="44" xfId="0" applyNumberFormat="1" applyFont="1" applyFill="1" applyBorder="1" applyProtection="1">
      <protection hidden="1"/>
    </xf>
    <xf numFmtId="0" fontId="11" fillId="0" borderId="44" xfId="0" applyNumberFormat="1" applyFont="1" applyFill="1" applyBorder="1" applyProtection="1">
      <protection hidden="1"/>
    </xf>
    <xf numFmtId="0" fontId="9" fillId="0" borderId="44" xfId="0" applyNumberFormat="1" applyFont="1" applyFill="1" applyBorder="1" applyProtection="1">
      <protection hidden="1"/>
    </xf>
    <xf numFmtId="49" fontId="9" fillId="0" borderId="54" xfId="0" applyNumberFormat="1" applyFont="1" applyBorder="1" applyProtection="1">
      <protection hidden="1"/>
    </xf>
    <xf numFmtId="0" fontId="17" fillId="0" borderId="89" xfId="0" applyFont="1" applyFill="1" applyBorder="1" applyProtection="1">
      <protection hidden="1"/>
    </xf>
    <xf numFmtId="164" fontId="15" fillId="36" borderId="17" xfId="0" applyNumberFormat="1" applyFont="1" applyFill="1" applyBorder="1" applyProtection="1">
      <protection hidden="1"/>
    </xf>
    <xf numFmtId="164" fontId="15" fillId="36" borderId="32" xfId="0" applyNumberFormat="1" applyFont="1" applyFill="1" applyBorder="1" applyProtection="1">
      <protection hidden="1"/>
    </xf>
    <xf numFmtId="0" fontId="6" fillId="21" borderId="35" xfId="0" applyNumberFormat="1" applyFont="1" applyFill="1" applyBorder="1" applyAlignment="1" applyProtection="1">
      <alignment horizontal="center"/>
      <protection hidden="1"/>
    </xf>
    <xf numFmtId="0" fontId="17" fillId="0" borderId="5" xfId="0" applyFont="1" applyFill="1" applyBorder="1" applyProtection="1"/>
    <xf numFmtId="0" fontId="28" fillId="0" borderId="1" xfId="0" applyFont="1" applyBorder="1" applyAlignment="1" applyProtection="1">
      <alignment horizontal="center"/>
      <protection hidden="1"/>
    </xf>
    <xf numFmtId="0" fontId="17" fillId="0" borderId="90" xfId="0" applyFont="1" applyBorder="1" applyProtection="1"/>
    <xf numFmtId="1" fontId="17" fillId="0" borderId="67" xfId="0" applyNumberFormat="1" applyFont="1" applyFill="1" applyBorder="1" applyAlignment="1" applyProtection="1">
      <alignment horizontal="center"/>
    </xf>
    <xf numFmtId="0" fontId="88" fillId="0" borderId="0" xfId="0" applyFont="1" applyAlignment="1">
      <alignment horizontal="center"/>
    </xf>
    <xf numFmtId="164" fontId="17" fillId="21" borderId="6" xfId="0" applyNumberFormat="1" applyFont="1" applyFill="1" applyBorder="1" applyProtection="1">
      <protection hidden="1"/>
    </xf>
    <xf numFmtId="0" fontId="6" fillId="21" borderId="24" xfId="0" applyFont="1" applyFill="1" applyBorder="1" applyProtection="1">
      <protection hidden="1"/>
    </xf>
    <xf numFmtId="0" fontId="5" fillId="6" borderId="16" xfId="0" applyFont="1" applyFill="1" applyBorder="1" applyProtection="1">
      <protection hidden="1"/>
    </xf>
    <xf numFmtId="164" fontId="15" fillId="6" borderId="17" xfId="0" applyNumberFormat="1" applyFont="1" applyFill="1" applyBorder="1" applyProtection="1">
      <protection hidden="1"/>
    </xf>
    <xf numFmtId="164" fontId="15" fillId="6" borderId="32" xfId="0" applyNumberFormat="1" applyFont="1" applyFill="1" applyBorder="1" applyProtection="1">
      <protection hidden="1"/>
    </xf>
    <xf numFmtId="164" fontId="15" fillId="6" borderId="91" xfId="0" applyNumberFormat="1" applyFont="1" applyFill="1" applyBorder="1" applyProtection="1">
      <protection hidden="1"/>
    </xf>
    <xf numFmtId="164" fontId="15" fillId="6" borderId="92" xfId="0" applyNumberFormat="1" applyFont="1" applyFill="1" applyBorder="1" applyProtection="1">
      <protection hidden="1"/>
    </xf>
    <xf numFmtId="169" fontId="9" fillId="0" borderId="0" xfId="0" applyNumberFormat="1" applyFont="1" applyFill="1" applyBorder="1" applyProtection="1">
      <protection hidden="1"/>
    </xf>
    <xf numFmtId="0" fontId="10" fillId="0" borderId="51" xfId="0" applyFont="1" applyBorder="1" applyProtection="1">
      <protection hidden="1"/>
    </xf>
    <xf numFmtId="0" fontId="10" fillId="0" borderId="52" xfId="0" applyFont="1" applyBorder="1" applyProtection="1">
      <protection hidden="1"/>
    </xf>
    <xf numFmtId="0" fontId="10" fillId="0" borderId="53" xfId="0" applyFont="1" applyBorder="1" applyProtection="1">
      <protection hidden="1"/>
    </xf>
    <xf numFmtId="0" fontId="10" fillId="0" borderId="74" xfId="0" applyFont="1" applyBorder="1" applyProtection="1">
      <protection hidden="1"/>
    </xf>
    <xf numFmtId="0" fontId="10" fillId="0" borderId="0" xfId="0" applyFont="1" applyBorder="1" applyProtection="1">
      <protection hidden="1"/>
    </xf>
    <xf numFmtId="0" fontId="10" fillId="0" borderId="66" xfId="0" applyFont="1" applyBorder="1" applyProtection="1">
      <protection hidden="1"/>
    </xf>
    <xf numFmtId="0" fontId="9" fillId="0" borderId="74" xfId="0" applyFont="1" applyFill="1" applyBorder="1" applyAlignment="1" applyProtection="1">
      <alignment horizontal="center"/>
      <protection hidden="1"/>
    </xf>
    <xf numFmtId="0" fontId="9" fillId="0" borderId="66" xfId="0" applyFont="1" applyBorder="1" applyProtection="1">
      <protection hidden="1"/>
    </xf>
    <xf numFmtId="0" fontId="9" fillId="0" borderId="41" xfId="0" applyFont="1" applyFill="1" applyBorder="1" applyAlignment="1" applyProtection="1">
      <alignment horizontal="center"/>
      <protection hidden="1"/>
    </xf>
    <xf numFmtId="0" fontId="9" fillId="0" borderId="55" xfId="0" applyFont="1" applyBorder="1" applyProtection="1">
      <protection hidden="1"/>
    </xf>
    <xf numFmtId="0" fontId="9" fillId="0" borderId="75" xfId="0" applyFont="1" applyBorder="1" applyProtection="1">
      <protection hidden="1"/>
    </xf>
    <xf numFmtId="0" fontId="10" fillId="0" borderId="52" xfId="0" applyFont="1" applyFill="1" applyBorder="1" applyProtection="1">
      <protection hidden="1"/>
    </xf>
    <xf numFmtId="0" fontId="9" fillId="0" borderId="51" xfId="0" applyFont="1" applyFill="1" applyBorder="1" applyProtection="1">
      <protection hidden="1"/>
    </xf>
    <xf numFmtId="0" fontId="9" fillId="0" borderId="74" xfId="0" applyFont="1" applyFill="1" applyBorder="1" applyProtection="1">
      <protection hidden="1"/>
    </xf>
    <xf numFmtId="170" fontId="16" fillId="0" borderId="0" xfId="0" applyNumberFormat="1" applyFont="1" applyFill="1" applyBorder="1" applyAlignment="1" applyProtection="1">
      <alignment horizontal="center"/>
      <protection hidden="1"/>
    </xf>
    <xf numFmtId="170" fontId="16" fillId="0" borderId="0" xfId="0" applyNumberFormat="1" applyFont="1" applyBorder="1" applyAlignment="1" applyProtection="1">
      <alignment horizontal="center"/>
      <protection hidden="1"/>
    </xf>
    <xf numFmtId="170" fontId="16" fillId="0" borderId="66" xfId="0" applyNumberFormat="1" applyFont="1" applyBorder="1" applyAlignment="1" applyProtection="1">
      <alignment horizontal="center"/>
      <protection hidden="1"/>
    </xf>
    <xf numFmtId="170" fontId="16" fillId="0" borderId="55" xfId="0" applyNumberFormat="1" applyFont="1" applyFill="1" applyBorder="1" applyAlignment="1" applyProtection="1">
      <alignment horizontal="center"/>
      <protection hidden="1"/>
    </xf>
    <xf numFmtId="170" fontId="16" fillId="0" borderId="55" xfId="0" applyNumberFormat="1" applyFont="1" applyBorder="1" applyAlignment="1" applyProtection="1">
      <alignment horizontal="center"/>
      <protection hidden="1"/>
    </xf>
    <xf numFmtId="170" fontId="16" fillId="0" borderId="75" xfId="0" applyNumberFormat="1" applyFont="1" applyBorder="1" applyAlignment="1" applyProtection="1">
      <alignment horizontal="center"/>
      <protection hidden="1"/>
    </xf>
    <xf numFmtId="0" fontId="10" fillId="0" borderId="51" xfId="0" applyFont="1" applyFill="1" applyBorder="1" applyProtection="1">
      <protection hidden="1"/>
    </xf>
    <xf numFmtId="1" fontId="9" fillId="35" borderId="41" xfId="0" applyNumberFormat="1" applyFont="1" applyFill="1" applyBorder="1" applyAlignment="1" applyProtection="1">
      <alignment horizontal="right"/>
      <protection hidden="1"/>
    </xf>
    <xf numFmtId="1" fontId="9" fillId="35" borderId="75" xfId="0" applyNumberFormat="1" applyFont="1" applyFill="1" applyBorder="1" applyAlignment="1" applyProtection="1">
      <alignment horizontal="right"/>
      <protection hidden="1"/>
    </xf>
    <xf numFmtId="1" fontId="9" fillId="35" borderId="41" xfId="0" applyNumberFormat="1" applyFont="1" applyFill="1" applyBorder="1" applyProtection="1">
      <protection hidden="1"/>
    </xf>
    <xf numFmtId="1" fontId="9" fillId="35" borderId="75" xfId="0" applyNumberFormat="1" applyFont="1" applyFill="1" applyBorder="1" applyProtection="1">
      <protection hidden="1"/>
    </xf>
    <xf numFmtId="1" fontId="10" fillId="31" borderId="0" xfId="0" applyNumberFormat="1" applyFont="1" applyFill="1" applyProtection="1">
      <protection hidden="1"/>
    </xf>
    <xf numFmtId="169" fontId="9" fillId="31" borderId="41" xfId="0" applyNumberFormat="1" applyFont="1" applyFill="1" applyBorder="1" applyAlignment="1" applyProtection="1">
      <alignment horizontal="center"/>
      <protection hidden="1"/>
    </xf>
    <xf numFmtId="169" fontId="9" fillId="31" borderId="55" xfId="0" applyNumberFormat="1" applyFont="1" applyFill="1" applyBorder="1" applyAlignment="1" applyProtection="1">
      <alignment horizontal="center"/>
      <protection hidden="1"/>
    </xf>
    <xf numFmtId="169" fontId="9" fillId="31" borderId="75" xfId="0" applyNumberFormat="1" applyFont="1" applyFill="1" applyBorder="1" applyAlignment="1" applyProtection="1">
      <alignment horizontal="center"/>
      <protection hidden="1"/>
    </xf>
    <xf numFmtId="171" fontId="6" fillId="25" borderId="0" xfId="0" applyNumberFormat="1" applyFont="1" applyFill="1" applyBorder="1" applyProtection="1">
      <protection hidden="1"/>
    </xf>
    <xf numFmtId="0" fontId="67" fillId="3" borderId="16" xfId="0" applyFont="1" applyFill="1" applyBorder="1" applyProtection="1">
      <protection hidden="1"/>
    </xf>
    <xf numFmtId="164" fontId="17" fillId="0" borderId="52" xfId="0" applyNumberFormat="1" applyFont="1" applyBorder="1" applyProtection="1">
      <protection hidden="1"/>
    </xf>
    <xf numFmtId="164" fontId="17" fillId="0" borderId="79" xfId="0" applyNumberFormat="1" applyFont="1" applyBorder="1" applyProtection="1">
      <protection hidden="1"/>
    </xf>
    <xf numFmtId="164" fontId="17" fillId="0" borderId="52" xfId="0" applyNumberFormat="1" applyFont="1" applyFill="1" applyBorder="1" applyProtection="1">
      <protection hidden="1"/>
    </xf>
    <xf numFmtId="8" fontId="67" fillId="3" borderId="17" xfId="0" applyNumberFormat="1" applyFont="1" applyFill="1" applyBorder="1" applyProtection="1">
      <protection hidden="1"/>
    </xf>
    <xf numFmtId="8" fontId="67" fillId="3" borderId="32" xfId="0" applyNumberFormat="1" applyFont="1" applyFill="1" applyBorder="1" applyProtection="1">
      <protection hidden="1"/>
    </xf>
    <xf numFmtId="0" fontId="9" fillId="0" borderId="0" xfId="0" applyFont="1" applyAlignment="1" applyProtection="1">
      <alignment vertical="center"/>
      <protection hidden="1"/>
    </xf>
    <xf numFmtId="0" fontId="5" fillId="6" borderId="94" xfId="0" applyFont="1" applyFill="1" applyBorder="1" applyProtection="1">
      <protection hidden="1"/>
    </xf>
    <xf numFmtId="164" fontId="5" fillId="6" borderId="93" xfId="0" applyNumberFormat="1" applyFont="1" applyFill="1" applyBorder="1" applyProtection="1">
      <protection hidden="1"/>
    </xf>
    <xf numFmtId="164" fontId="17" fillId="6" borderId="91" xfId="0" applyNumberFormat="1" applyFont="1" applyFill="1" applyBorder="1" applyProtection="1">
      <protection hidden="1"/>
    </xf>
    <xf numFmtId="0" fontId="10" fillId="0" borderId="90" xfId="0" applyFont="1" applyBorder="1" applyProtection="1">
      <protection hidden="1"/>
    </xf>
    <xf numFmtId="0" fontId="5" fillId="6" borderId="23" xfId="0" applyFont="1" applyFill="1" applyBorder="1" applyProtection="1">
      <protection hidden="1"/>
    </xf>
    <xf numFmtId="0" fontId="88" fillId="0" borderId="2" xfId="0" applyFont="1" applyBorder="1" applyAlignment="1">
      <alignment horizontal="center"/>
    </xf>
    <xf numFmtId="8" fontId="67" fillId="3" borderId="17" xfId="0" applyNumberFormat="1" applyFont="1" applyFill="1" applyBorder="1" applyAlignment="1" applyProtection="1">
      <alignment horizontal="right"/>
      <protection hidden="1"/>
    </xf>
    <xf numFmtId="164" fontId="5" fillId="6" borderId="17" xfId="0" applyNumberFormat="1" applyFont="1" applyFill="1" applyBorder="1" applyAlignment="1" applyProtection="1">
      <alignment horizontal="right"/>
      <protection hidden="1"/>
    </xf>
    <xf numFmtId="164" fontId="17" fillId="0" borderId="28" xfId="0" applyNumberFormat="1" applyFont="1" applyFill="1" applyBorder="1" applyProtection="1"/>
    <xf numFmtId="164" fontId="27" fillId="0" borderId="0" xfId="0" applyNumberFormat="1" applyFont="1" applyFill="1" applyBorder="1" applyAlignment="1" applyProtection="1">
      <alignment horizontal="center"/>
    </xf>
    <xf numFmtId="8" fontId="76" fillId="0" borderId="0" xfId="0" applyNumberFormat="1" applyFont="1" applyFill="1" applyBorder="1" applyAlignment="1" applyProtection="1">
      <alignment horizontal="center" vertical="center"/>
      <protection hidden="1"/>
    </xf>
    <xf numFmtId="0" fontId="9" fillId="0" borderId="0" xfId="0" applyFont="1" applyAlignment="1" applyProtection="1">
      <alignment horizontal="center"/>
      <protection hidden="1"/>
    </xf>
    <xf numFmtId="14" fontId="9" fillId="0" borderId="0" xfId="0" applyNumberFormat="1" applyFont="1" applyProtection="1">
      <protection hidden="1"/>
    </xf>
    <xf numFmtId="2" fontId="9" fillId="0" borderId="0" xfId="0" applyNumberFormat="1" applyFont="1" applyProtection="1">
      <protection hidden="1"/>
    </xf>
    <xf numFmtId="164" fontId="67" fillId="0" borderId="0" xfId="0" applyNumberFormat="1" applyFont="1" applyFill="1" applyBorder="1" applyProtection="1">
      <protection hidden="1"/>
    </xf>
    <xf numFmtId="14" fontId="17" fillId="0" borderId="0" xfId="0" applyNumberFormat="1" applyFont="1" applyFill="1" applyBorder="1" applyProtection="1">
      <protection hidden="1"/>
    </xf>
    <xf numFmtId="0" fontId="10" fillId="0" borderId="0" xfId="0" applyFont="1" applyProtection="1">
      <protection hidden="1"/>
    </xf>
    <xf numFmtId="4" fontId="17" fillId="0" borderId="0" xfId="0" applyNumberFormat="1" applyFont="1" applyFill="1" applyBorder="1" applyProtection="1">
      <protection hidden="1"/>
    </xf>
    <xf numFmtId="4" fontId="17" fillId="30" borderId="0" xfId="0" applyNumberFormat="1" applyFont="1" applyFill="1" applyBorder="1" applyProtection="1">
      <protection hidden="1"/>
    </xf>
    <xf numFmtId="4" fontId="6" fillId="30" borderId="0" xfId="0" applyNumberFormat="1" applyFont="1" applyFill="1" applyBorder="1" applyProtection="1">
      <protection hidden="1"/>
    </xf>
    <xf numFmtId="10" fontId="17" fillId="0" borderId="0" xfId="0" applyNumberFormat="1" applyFont="1" applyProtection="1">
      <protection hidden="1"/>
    </xf>
    <xf numFmtId="164" fontId="6" fillId="30" borderId="0" xfId="0" applyNumberFormat="1" applyFont="1" applyFill="1" applyProtection="1">
      <protection hidden="1"/>
    </xf>
    <xf numFmtId="0" fontId="17" fillId="0" borderId="2" xfId="0" applyFont="1" applyBorder="1" applyAlignment="1" applyProtection="1">
      <alignment horizontal="center"/>
      <protection hidden="1"/>
    </xf>
    <xf numFmtId="0" fontId="17" fillId="0" borderId="51" xfId="0" applyFont="1" applyBorder="1" applyProtection="1">
      <protection hidden="1"/>
    </xf>
    <xf numFmtId="164" fontId="62" fillId="0" borderId="7" xfId="0" applyNumberFormat="1" applyFont="1" applyBorder="1" applyProtection="1">
      <protection hidden="1"/>
    </xf>
    <xf numFmtId="0" fontId="17" fillId="0" borderId="41" xfId="0" applyFont="1" applyBorder="1" applyProtection="1">
      <protection hidden="1"/>
    </xf>
    <xf numFmtId="0" fontId="17" fillId="0" borderId="75" xfId="0" applyFont="1" applyBorder="1" applyProtection="1">
      <protection hidden="1"/>
    </xf>
    <xf numFmtId="0" fontId="6" fillId="29" borderId="5" xfId="0" applyFont="1" applyFill="1" applyBorder="1" applyProtection="1">
      <protection hidden="1"/>
    </xf>
    <xf numFmtId="164" fontId="17" fillId="30" borderId="2" xfId="0" applyNumberFormat="1" applyFont="1" applyFill="1" applyBorder="1" applyProtection="1">
      <protection hidden="1"/>
    </xf>
    <xf numFmtId="164" fontId="6" fillId="30" borderId="6" xfId="0" applyNumberFormat="1" applyFont="1" applyFill="1" applyBorder="1" applyProtection="1">
      <protection hidden="1"/>
    </xf>
    <xf numFmtId="164" fontId="17" fillId="30" borderId="29" xfId="0" applyNumberFormat="1" applyFont="1" applyFill="1" applyBorder="1" applyProtection="1">
      <protection hidden="1"/>
    </xf>
    <xf numFmtId="14" fontId="17" fillId="0" borderId="0" xfId="0" applyNumberFormat="1" applyFont="1" applyProtection="1">
      <protection hidden="1"/>
    </xf>
    <xf numFmtId="164" fontId="10" fillId="20" borderId="0" xfId="0" applyNumberFormat="1" applyFont="1" applyFill="1" applyProtection="1">
      <protection hidden="1"/>
    </xf>
    <xf numFmtId="164" fontId="17" fillId="0" borderId="74" xfId="0" applyNumberFormat="1" applyFont="1" applyBorder="1" applyProtection="1">
      <protection hidden="1"/>
    </xf>
    <xf numFmtId="164" fontId="17" fillId="0" borderId="66" xfId="0" applyNumberFormat="1" applyFont="1" applyBorder="1" applyProtection="1">
      <protection hidden="1"/>
    </xf>
    <xf numFmtId="0" fontId="17" fillId="0" borderId="8" xfId="0" applyFont="1" applyBorder="1" applyAlignment="1" applyProtection="1">
      <alignment horizontal="center"/>
      <protection hidden="1"/>
    </xf>
    <xf numFmtId="0" fontId="17" fillId="0" borderId="28" xfId="0" applyFont="1" applyBorder="1" applyProtection="1">
      <protection hidden="1"/>
    </xf>
    <xf numFmtId="164" fontId="62" fillId="0" borderId="22" xfId="0" applyNumberFormat="1" applyFont="1" applyBorder="1" applyProtection="1">
      <protection hidden="1"/>
    </xf>
    <xf numFmtId="0" fontId="12" fillId="30" borderId="5" xfId="0" applyFont="1" applyFill="1" applyBorder="1" applyProtection="1">
      <protection hidden="1"/>
    </xf>
    <xf numFmtId="0" fontId="9" fillId="30" borderId="5" xfId="0" applyFont="1" applyFill="1" applyBorder="1" applyProtection="1">
      <protection hidden="1"/>
    </xf>
    <xf numFmtId="164" fontId="91" fillId="0" borderId="0" xfId="0" applyNumberFormat="1" applyFont="1" applyBorder="1" applyProtection="1">
      <protection hidden="1"/>
    </xf>
    <xf numFmtId="10" fontId="90" fillId="0" borderId="0" xfId="0" applyNumberFormat="1" applyFont="1" applyBorder="1" applyAlignment="1" applyProtection="1">
      <alignment horizontal="center"/>
      <protection hidden="1"/>
    </xf>
    <xf numFmtId="0" fontId="10" fillId="30" borderId="5" xfId="0" applyFont="1" applyFill="1" applyBorder="1" applyProtection="1">
      <protection hidden="1"/>
    </xf>
    <xf numFmtId="0" fontId="92" fillId="29" borderId="3" xfId="0" applyFont="1" applyFill="1" applyBorder="1" applyProtection="1">
      <protection hidden="1"/>
    </xf>
    <xf numFmtId="164" fontId="57" fillId="0" borderId="0" xfId="0" applyNumberFormat="1" applyFont="1" applyBorder="1" applyProtection="1">
      <protection hidden="1"/>
    </xf>
    <xf numFmtId="164" fontId="76" fillId="0" borderId="95" xfId="0" applyNumberFormat="1" applyFont="1" applyFill="1" applyBorder="1" applyAlignment="1" applyProtection="1">
      <alignment horizontal="center"/>
      <protection hidden="1"/>
    </xf>
    <xf numFmtId="164" fontId="94" fillId="29" borderId="36" xfId="0" applyNumberFormat="1" applyFont="1" applyFill="1" applyBorder="1" applyAlignment="1" applyProtection="1">
      <alignment horizontal="right"/>
      <protection hidden="1"/>
    </xf>
    <xf numFmtId="0" fontId="9" fillId="36" borderId="21" xfId="0" applyFont="1" applyFill="1" applyBorder="1" applyProtection="1">
      <protection hidden="1"/>
    </xf>
    <xf numFmtId="164" fontId="17" fillId="36" borderId="6" xfId="0" applyNumberFormat="1" applyFont="1" applyFill="1" applyBorder="1" applyProtection="1">
      <protection hidden="1"/>
    </xf>
    <xf numFmtId="164" fontId="17" fillId="36" borderId="49" xfId="0" applyNumberFormat="1" applyFont="1" applyFill="1" applyBorder="1" applyProtection="1">
      <protection hidden="1"/>
    </xf>
    <xf numFmtId="0" fontId="96" fillId="0" borderId="0" xfId="2" applyFont="1" applyAlignment="1" applyProtection="1">
      <alignment horizontal="left" vertical="center"/>
      <protection hidden="1"/>
    </xf>
    <xf numFmtId="164" fontId="91" fillId="0" borderId="0" xfId="0" applyNumberFormat="1" applyFont="1" applyFill="1" applyBorder="1" applyProtection="1">
      <protection hidden="1"/>
    </xf>
    <xf numFmtId="164" fontId="93" fillId="0" borderId="0" xfId="0" applyNumberFormat="1" applyFont="1" applyBorder="1" applyProtection="1">
      <protection hidden="1"/>
    </xf>
    <xf numFmtId="164" fontId="17" fillId="30" borderId="0" xfId="0" applyNumberFormat="1" applyFont="1" applyFill="1" applyBorder="1" applyProtection="1">
      <protection hidden="1"/>
    </xf>
    <xf numFmtId="0" fontId="97" fillId="0" borderId="0" xfId="0" applyFont="1" applyProtection="1"/>
    <xf numFmtId="0" fontId="97" fillId="0" borderId="0" xfId="0" applyFont="1"/>
    <xf numFmtId="0" fontId="59" fillId="0" borderId="0" xfId="0" applyFont="1" applyProtection="1"/>
    <xf numFmtId="0" fontId="59" fillId="0" borderId="0" xfId="0" applyFont="1"/>
    <xf numFmtId="0" fontId="98" fillId="0" borderId="0" xfId="0" applyFont="1" applyProtection="1"/>
    <xf numFmtId="0" fontId="98" fillId="0" borderId="0" xfId="0" applyFont="1"/>
    <xf numFmtId="0" fontId="17" fillId="0" borderId="0" xfId="2" applyFont="1" applyBorder="1" applyAlignment="1">
      <alignment horizontal="right"/>
    </xf>
    <xf numFmtId="3" fontId="62" fillId="0" borderId="74" xfId="0" applyNumberFormat="1" applyFont="1" applyFill="1" applyBorder="1" applyAlignment="1" applyProtection="1">
      <alignment horizontal="center"/>
    </xf>
    <xf numFmtId="3" fontId="6" fillId="21" borderId="35" xfId="0" applyNumberFormat="1" applyFont="1" applyFill="1" applyBorder="1" applyAlignment="1" applyProtection="1">
      <alignment horizontal="center"/>
      <protection hidden="1"/>
    </xf>
    <xf numFmtId="0" fontId="59" fillId="0" borderId="0" xfId="0" applyNumberFormat="1" applyFont="1"/>
    <xf numFmtId="0" fontId="41" fillId="0" borderId="0" xfId="0" applyNumberFormat="1" applyFont="1"/>
    <xf numFmtId="0" fontId="101" fillId="0" borderId="0" xfId="0" applyNumberFormat="1" applyFont="1"/>
    <xf numFmtId="0" fontId="16" fillId="0" borderId="0" xfId="0" applyNumberFormat="1" applyFont="1"/>
    <xf numFmtId="0" fontId="17" fillId="20" borderId="0" xfId="0" applyFont="1" applyFill="1" applyProtection="1">
      <protection locked="0"/>
    </xf>
    <xf numFmtId="3" fontId="6" fillId="20" borderId="0" xfId="0" applyNumberFormat="1" applyFont="1" applyFill="1" applyBorder="1" applyAlignment="1" applyProtection="1">
      <alignment horizontal="center"/>
      <protection locked="0"/>
    </xf>
    <xf numFmtId="0" fontId="6" fillId="38" borderId="80" xfId="0" applyFont="1" applyFill="1" applyBorder="1" applyAlignment="1">
      <alignment horizontal="center" vertical="center"/>
    </xf>
    <xf numFmtId="0" fontId="6" fillId="39" borderId="80" xfId="0" applyFont="1" applyFill="1" applyBorder="1" applyAlignment="1">
      <alignment horizontal="center" vertical="center"/>
    </xf>
    <xf numFmtId="0" fontId="6" fillId="39" borderId="67" xfId="0" applyFont="1" applyFill="1" applyBorder="1" applyAlignment="1">
      <alignment horizontal="center" vertical="center"/>
    </xf>
    <xf numFmtId="164" fontId="6" fillId="39" borderId="2" xfId="0" applyNumberFormat="1" applyFont="1" applyFill="1" applyBorder="1" applyAlignment="1">
      <alignment horizontal="center" vertical="center"/>
    </xf>
    <xf numFmtId="0" fontId="6" fillId="39" borderId="2" xfId="0" applyFont="1" applyFill="1" applyBorder="1" applyAlignment="1">
      <alignment horizontal="center" vertical="center"/>
    </xf>
    <xf numFmtId="164" fontId="6" fillId="39" borderId="8" xfId="0" applyNumberFormat="1" applyFont="1" applyFill="1" applyBorder="1" applyAlignment="1">
      <alignment horizontal="center" vertical="center"/>
    </xf>
    <xf numFmtId="0" fontId="6" fillId="39" borderId="8" xfId="0" applyFont="1" applyFill="1" applyBorder="1" applyAlignment="1">
      <alignment horizontal="center" vertical="center"/>
    </xf>
    <xf numFmtId="172" fontId="17" fillId="40" borderId="80" xfId="0" applyNumberFormat="1" applyFont="1" applyFill="1" applyBorder="1" applyAlignment="1">
      <alignment horizontal="center" vertical="center"/>
    </xf>
    <xf numFmtId="7" fontId="17" fillId="30" borderId="8" xfId="0" applyNumberFormat="1" applyFont="1" applyFill="1" applyBorder="1" applyAlignment="1">
      <alignment vertical="center"/>
    </xf>
    <xf numFmtId="7" fontId="17" fillId="42" borderId="8" xfId="0" applyNumberFormat="1" applyFont="1" applyFill="1" applyBorder="1" applyAlignment="1">
      <alignment vertical="center"/>
    </xf>
    <xf numFmtId="164" fontId="17" fillId="43" borderId="67" xfId="0" applyNumberFormat="1" applyFont="1" applyFill="1" applyBorder="1" applyAlignment="1">
      <alignment vertical="center"/>
    </xf>
    <xf numFmtId="164" fontId="17" fillId="43" borderId="8" xfId="0" applyNumberFormat="1" applyFont="1" applyFill="1" applyBorder="1" applyAlignment="1">
      <alignment vertical="center"/>
    </xf>
    <xf numFmtId="7" fontId="17" fillId="30" borderId="8" xfId="0" applyNumberFormat="1" applyFont="1" applyFill="1" applyBorder="1" applyAlignment="1" applyProtection="1">
      <alignment vertical="center"/>
      <protection hidden="1"/>
    </xf>
    <xf numFmtId="7" fontId="17" fillId="30" borderId="31" xfId="0" applyNumberFormat="1" applyFont="1" applyFill="1" applyBorder="1" applyAlignment="1">
      <alignment vertical="center"/>
    </xf>
    <xf numFmtId="7" fontId="17" fillId="42" borderId="31" xfId="0" applyNumberFormat="1" applyFont="1" applyFill="1" applyBorder="1" applyAlignment="1">
      <alignment vertical="center"/>
    </xf>
    <xf numFmtId="164" fontId="17" fillId="43" borderId="68" xfId="0" applyNumberFormat="1" applyFont="1" applyFill="1" applyBorder="1" applyAlignment="1">
      <alignment vertical="center"/>
    </xf>
    <xf numFmtId="164" fontId="17" fillId="43" borderId="31" xfId="0" applyNumberFormat="1" applyFont="1" applyFill="1" applyBorder="1" applyAlignment="1">
      <alignment vertical="center"/>
    </xf>
    <xf numFmtId="0" fontId="17" fillId="40" borderId="71" xfId="0" applyFont="1" applyFill="1" applyBorder="1" applyAlignment="1">
      <alignment horizontal="right" vertical="center"/>
    </xf>
    <xf numFmtId="164" fontId="17" fillId="43" borderId="96" xfId="0" applyNumberFormat="1" applyFont="1" applyFill="1" applyBorder="1" applyAlignment="1">
      <alignment vertical="center"/>
    </xf>
    <xf numFmtId="164" fontId="17" fillId="43" borderId="36" xfId="0" applyNumberFormat="1" applyFont="1" applyFill="1" applyBorder="1" applyAlignment="1">
      <alignment vertical="center"/>
    </xf>
    <xf numFmtId="164" fontId="17" fillId="43" borderId="37" xfId="0" applyNumberFormat="1" applyFont="1" applyFill="1" applyBorder="1" applyAlignment="1">
      <alignment vertical="center"/>
    </xf>
    <xf numFmtId="0" fontId="17" fillId="0" borderId="0" xfId="0" applyFont="1" applyAlignment="1">
      <alignment horizontal="right" vertical="center"/>
    </xf>
    <xf numFmtId="0" fontId="17" fillId="0" borderId="0" xfId="0" applyFont="1" applyAlignment="1">
      <alignment horizontal="left" vertical="center"/>
    </xf>
    <xf numFmtId="173" fontId="17" fillId="0" borderId="0" xfId="0" applyNumberFormat="1" applyFont="1" applyAlignment="1">
      <alignment vertical="center"/>
    </xf>
    <xf numFmtId="0" fontId="17" fillId="0" borderId="0" xfId="0" applyFont="1" applyAlignment="1">
      <alignment vertical="center"/>
    </xf>
    <xf numFmtId="0" fontId="17" fillId="0" borderId="19" xfId="0" applyFont="1" applyBorder="1" applyAlignment="1">
      <alignment vertical="center"/>
    </xf>
    <xf numFmtId="0" fontId="6" fillId="44" borderId="35" xfId="0" applyFont="1" applyFill="1" applyBorder="1" applyProtection="1"/>
    <xf numFmtId="164" fontId="6" fillId="43" borderId="35" xfId="0" applyNumberFormat="1" applyFont="1" applyFill="1" applyBorder="1" applyAlignment="1">
      <alignment vertical="center"/>
    </xf>
    <xf numFmtId="164" fontId="6" fillId="43" borderId="67" xfId="0" applyNumberFormat="1" applyFont="1" applyFill="1" applyBorder="1" applyAlignment="1" applyProtection="1">
      <alignment vertical="center"/>
      <protection hidden="1"/>
    </xf>
    <xf numFmtId="0" fontId="17" fillId="0" borderId="52" xfId="0" applyFont="1" applyBorder="1" applyAlignment="1">
      <alignment vertical="center"/>
    </xf>
    <xf numFmtId="164" fontId="17" fillId="41" borderId="67" xfId="0" applyNumberFormat="1" applyFont="1" applyFill="1" applyBorder="1" applyAlignment="1" applyProtection="1">
      <alignment vertical="center"/>
      <protection locked="0"/>
    </xf>
    <xf numFmtId="164" fontId="17" fillId="41" borderId="2" xfId="0" applyNumberFormat="1" applyFont="1" applyFill="1" applyBorder="1" applyAlignment="1" applyProtection="1">
      <alignment vertical="center"/>
      <protection locked="0"/>
    </xf>
    <xf numFmtId="164" fontId="17" fillId="41" borderId="30" xfId="0" applyNumberFormat="1" applyFont="1" applyFill="1" applyBorder="1" applyAlignment="1" applyProtection="1">
      <alignment vertical="center"/>
      <protection locked="0"/>
    </xf>
    <xf numFmtId="164" fontId="17" fillId="41" borderId="29" xfId="0" applyNumberFormat="1" applyFont="1" applyFill="1" applyBorder="1" applyAlignment="1" applyProtection="1">
      <alignment vertical="center"/>
      <protection locked="0"/>
    </xf>
    <xf numFmtId="164" fontId="17" fillId="41" borderId="68" xfId="0" applyNumberFormat="1" applyFont="1" applyFill="1" applyBorder="1" applyAlignment="1" applyProtection="1">
      <alignment vertical="center"/>
      <protection locked="0"/>
    </xf>
    <xf numFmtId="0" fontId="6" fillId="20" borderId="67" xfId="0" applyFont="1" applyFill="1" applyBorder="1" applyAlignment="1" applyProtection="1">
      <alignment horizontal="center"/>
      <protection locked="0"/>
    </xf>
    <xf numFmtId="0" fontId="14" fillId="34" borderId="5" xfId="0" applyFont="1" applyFill="1" applyBorder="1" applyProtection="1"/>
    <xf numFmtId="9" fontId="6" fillId="20" borderId="6" xfId="0" applyNumberFormat="1" applyFont="1" applyFill="1" applyBorder="1" applyAlignment="1" applyProtection="1">
      <alignment horizontal="center"/>
      <protection locked="0"/>
    </xf>
    <xf numFmtId="164" fontId="62" fillId="0" borderId="9" xfId="0" applyNumberFormat="1" applyFont="1" applyFill="1" applyBorder="1"/>
    <xf numFmtId="1" fontId="17" fillId="0" borderId="2" xfId="0" applyNumberFormat="1" applyFont="1" applyFill="1" applyBorder="1" applyAlignment="1" applyProtection="1">
      <alignment horizontal="center"/>
      <protection locked="0"/>
    </xf>
    <xf numFmtId="1" fontId="17" fillId="0" borderId="8" xfId="0" applyNumberFormat="1" applyFont="1" applyFill="1" applyBorder="1" applyAlignment="1" applyProtection="1">
      <alignment horizontal="center"/>
      <protection locked="0"/>
    </xf>
    <xf numFmtId="3" fontId="17" fillId="0" borderId="2" xfId="0" applyNumberFormat="1" applyFont="1" applyFill="1" applyBorder="1" applyAlignment="1" applyProtection="1">
      <alignment horizontal="center"/>
      <protection locked="0"/>
    </xf>
    <xf numFmtId="165" fontId="17" fillId="0" borderId="1" xfId="0" applyNumberFormat="1" applyFont="1" applyFill="1" applyBorder="1" applyAlignment="1" applyProtection="1">
      <alignment horizontal="center"/>
      <protection locked="0"/>
    </xf>
    <xf numFmtId="164" fontId="37" fillId="0" borderId="2" xfId="0" applyNumberFormat="1" applyFont="1" applyFill="1" applyBorder="1" applyAlignment="1" applyProtection="1">
      <alignment horizontal="center"/>
      <protection locked="0"/>
    </xf>
    <xf numFmtId="164" fontId="37" fillId="0" borderId="8" xfId="0" applyNumberFormat="1" applyFont="1" applyFill="1" applyBorder="1" applyAlignment="1" applyProtection="1">
      <alignment horizontal="center"/>
      <protection locked="0"/>
    </xf>
    <xf numFmtId="164" fontId="17" fillId="0" borderId="1" xfId="0" applyNumberFormat="1" applyFont="1" applyFill="1" applyBorder="1" applyAlignment="1" applyProtection="1">
      <alignment horizontal="center"/>
      <protection locked="0"/>
    </xf>
    <xf numFmtId="165" fontId="17" fillId="0" borderId="2" xfId="0" applyNumberFormat="1" applyFont="1" applyFill="1" applyBorder="1" applyAlignment="1" applyProtection="1">
      <alignment horizontal="center"/>
      <protection locked="0"/>
    </xf>
    <xf numFmtId="3" fontId="62" fillId="0" borderId="6" xfId="0" applyNumberFormat="1" applyFont="1" applyFill="1" applyBorder="1" applyAlignment="1">
      <alignment horizontal="center"/>
    </xf>
    <xf numFmtId="0" fontId="17" fillId="0" borderId="21" xfId="0" applyFont="1" applyFill="1" applyBorder="1"/>
    <xf numFmtId="0" fontId="17" fillId="0" borderId="4" xfId="0" applyFont="1" applyBorder="1"/>
    <xf numFmtId="0" fontId="9" fillId="0" borderId="9" xfId="0" applyFont="1" applyBorder="1"/>
    <xf numFmtId="164" fontId="17" fillId="10" borderId="28" xfId="0" applyNumberFormat="1" applyFont="1" applyFill="1" applyBorder="1" applyAlignment="1" applyProtection="1">
      <alignment horizontal="right"/>
      <protection hidden="1"/>
    </xf>
    <xf numFmtId="164" fontId="9" fillId="0" borderId="28" xfId="0" applyNumberFormat="1" applyFont="1" applyFill="1" applyBorder="1" applyProtection="1"/>
    <xf numFmtId="164" fontId="17" fillId="18" borderId="28" xfId="0" applyNumberFormat="1" applyFont="1" applyFill="1" applyBorder="1" applyAlignment="1" applyProtection="1">
      <alignment horizontal="right"/>
      <protection hidden="1"/>
    </xf>
    <xf numFmtId="164" fontId="9" fillId="18" borderId="0" xfId="0" applyNumberFormat="1" applyFont="1" applyFill="1" applyBorder="1"/>
    <xf numFmtId="164" fontId="9" fillId="18" borderId="28" xfId="0" applyNumberFormat="1" applyFont="1" applyFill="1" applyBorder="1"/>
    <xf numFmtId="164" fontId="17" fillId="0" borderId="27" xfId="0" applyNumberFormat="1" applyFont="1" applyFill="1" applyBorder="1" applyAlignment="1" applyProtection="1">
      <alignment horizontal="center"/>
      <protection locked="0"/>
    </xf>
    <xf numFmtId="164" fontId="17" fillId="0" borderId="1" xfId="0" applyNumberFormat="1" applyFont="1" applyFill="1" applyBorder="1" applyProtection="1">
      <protection locked="0"/>
    </xf>
    <xf numFmtId="0" fontId="1" fillId="0" borderId="0" xfId="0" applyFont="1" applyBorder="1"/>
    <xf numFmtId="0" fontId="17" fillId="22" borderId="4" xfId="0" applyFont="1" applyFill="1" applyBorder="1"/>
    <xf numFmtId="0" fontId="17" fillId="45" borderId="24" xfId="0" applyFont="1" applyFill="1" applyBorder="1"/>
    <xf numFmtId="164" fontId="17" fillId="0" borderId="11" xfId="0" applyNumberFormat="1" applyFont="1" applyFill="1" applyBorder="1" applyProtection="1">
      <protection locked="0"/>
    </xf>
    <xf numFmtId="164" fontId="17" fillId="0" borderId="8" xfId="0" applyNumberFormat="1" applyFont="1" applyFill="1" applyBorder="1" applyAlignment="1" applyProtection="1">
      <alignment horizontal="right"/>
      <protection locked="0"/>
    </xf>
    <xf numFmtId="0" fontId="63" fillId="0" borderId="5" xfId="0" applyFont="1" applyFill="1" applyBorder="1" applyAlignment="1" applyProtection="1">
      <alignment vertical="center"/>
      <protection hidden="1"/>
    </xf>
    <xf numFmtId="0" fontId="17" fillId="0" borderId="5" xfId="0" applyNumberFormat="1" applyFont="1" applyFill="1" applyBorder="1" applyProtection="1">
      <protection locked="0"/>
    </xf>
    <xf numFmtId="0" fontId="37" fillId="0" borderId="5" xfId="0" applyFont="1" applyFill="1" applyBorder="1"/>
    <xf numFmtId="0" fontId="25" fillId="24" borderId="4" xfId="0" applyFont="1" applyFill="1" applyBorder="1"/>
    <xf numFmtId="0" fontId="17" fillId="0" borderId="5" xfId="0" applyFont="1" applyFill="1" applyBorder="1" applyAlignment="1"/>
    <xf numFmtId="164" fontId="17" fillId="0" borderId="83" xfId="0" applyNumberFormat="1" applyFont="1" applyFill="1" applyBorder="1" applyProtection="1"/>
    <xf numFmtId="164" fontId="17" fillId="0" borderId="82" xfId="0" applyNumberFormat="1" applyFont="1" applyFill="1" applyBorder="1" applyProtection="1"/>
    <xf numFmtId="164" fontId="17" fillId="0" borderId="55" xfId="0" applyNumberFormat="1" applyFont="1" applyFill="1" applyBorder="1" applyProtection="1"/>
    <xf numFmtId="164" fontId="17" fillId="0" borderId="74" xfId="0" applyNumberFormat="1" applyFont="1" applyFill="1" applyBorder="1" applyProtection="1"/>
    <xf numFmtId="164" fontId="17" fillId="0" borderId="32" xfId="0" applyNumberFormat="1" applyFont="1" applyFill="1" applyBorder="1" applyProtection="1">
      <protection locked="0"/>
    </xf>
    <xf numFmtId="164" fontId="17" fillId="0" borderId="95" xfId="0" applyNumberFormat="1" applyFont="1" applyFill="1" applyBorder="1" applyProtection="1">
      <protection locked="0"/>
    </xf>
    <xf numFmtId="164" fontId="17" fillId="0" borderId="17" xfId="0" applyNumberFormat="1" applyFont="1" applyFill="1" applyBorder="1" applyProtection="1">
      <protection locked="0"/>
    </xf>
    <xf numFmtId="3" fontId="76" fillId="0" borderId="67" xfId="0" applyNumberFormat="1" applyFont="1" applyFill="1" applyBorder="1" applyAlignment="1" applyProtection="1">
      <alignment horizontal="center"/>
    </xf>
    <xf numFmtId="164" fontId="17" fillId="0" borderId="67" xfId="0" applyNumberFormat="1" applyFont="1" applyFill="1" applyBorder="1" applyProtection="1"/>
    <xf numFmtId="164" fontId="17" fillId="0" borderId="84" xfId="0" applyNumberFormat="1" applyFont="1" applyFill="1" applyBorder="1" applyProtection="1"/>
    <xf numFmtId="164" fontId="17" fillId="0" borderId="85" xfId="0" applyNumberFormat="1" applyFont="1" applyFill="1" applyBorder="1" applyProtection="1"/>
    <xf numFmtId="164" fontId="17" fillId="0" borderId="95" xfId="0" applyNumberFormat="1" applyFont="1" applyFill="1" applyBorder="1" applyProtection="1"/>
    <xf numFmtId="164" fontId="17" fillId="0" borderId="32" xfId="0" applyNumberFormat="1" applyFont="1" applyFill="1" applyBorder="1" applyProtection="1"/>
    <xf numFmtId="164" fontId="17" fillId="0" borderId="83" xfId="0" applyNumberFormat="1" applyFont="1" applyBorder="1"/>
    <xf numFmtId="164" fontId="17" fillId="0" borderId="14" xfId="0" applyNumberFormat="1" applyFont="1" applyBorder="1"/>
    <xf numFmtId="164" fontId="17" fillId="0" borderId="15" xfId="0" applyNumberFormat="1" applyFont="1" applyBorder="1" applyProtection="1"/>
    <xf numFmtId="1" fontId="17" fillId="0" borderId="41" xfId="0" applyNumberFormat="1" applyFont="1" applyFill="1" applyBorder="1" applyProtection="1"/>
    <xf numFmtId="1" fontId="17" fillId="0" borderId="75" xfId="0" applyNumberFormat="1" applyFont="1" applyFill="1" applyBorder="1" applyProtection="1"/>
    <xf numFmtId="1" fontId="17" fillId="0" borderId="67" xfId="0" applyNumberFormat="1" applyFont="1" applyFill="1" applyBorder="1" applyProtection="1"/>
    <xf numFmtId="1" fontId="17" fillId="0" borderId="35" xfId="0" applyNumberFormat="1" applyFont="1" applyFill="1" applyBorder="1" applyProtection="1"/>
    <xf numFmtId="1" fontId="17" fillId="0" borderId="55" xfId="0" applyNumberFormat="1" applyFont="1" applyFill="1" applyBorder="1" applyProtection="1"/>
    <xf numFmtId="1" fontId="17" fillId="0" borderId="84" xfId="0" applyNumberFormat="1" applyFont="1" applyFill="1" applyBorder="1" applyProtection="1"/>
    <xf numFmtId="3" fontId="17" fillId="0" borderId="84" xfId="0" applyNumberFormat="1" applyFont="1" applyFill="1" applyBorder="1" applyAlignment="1" applyProtection="1">
      <alignment horizontal="center"/>
    </xf>
    <xf numFmtId="164" fontId="17" fillId="0" borderId="52" xfId="0" applyNumberFormat="1" applyFont="1" applyFill="1" applyBorder="1" applyProtection="1"/>
    <xf numFmtId="164" fontId="17" fillId="0" borderId="53" xfId="0" applyNumberFormat="1" applyFont="1" applyFill="1" applyBorder="1" applyProtection="1"/>
    <xf numFmtId="3" fontId="17" fillId="0" borderId="41" xfId="0" applyNumberFormat="1" applyFont="1" applyFill="1" applyBorder="1" applyAlignment="1" applyProtection="1">
      <alignment horizontal="center"/>
    </xf>
    <xf numFmtId="3" fontId="17" fillId="0" borderId="55" xfId="0" applyNumberFormat="1" applyFont="1" applyFill="1" applyBorder="1" applyAlignment="1" applyProtection="1">
      <alignment horizontal="center"/>
    </xf>
    <xf numFmtId="3" fontId="17" fillId="0" borderId="42" xfId="0" applyNumberFormat="1" applyFont="1" applyFill="1" applyBorder="1" applyAlignment="1" applyProtection="1">
      <alignment horizontal="center"/>
    </xf>
    <xf numFmtId="3" fontId="17" fillId="0" borderId="35" xfId="0" applyNumberFormat="1" applyFont="1" applyFill="1" applyBorder="1" applyAlignment="1" applyProtection="1">
      <alignment horizontal="left"/>
    </xf>
    <xf numFmtId="164" fontId="7" fillId="0" borderId="35" xfId="0" applyNumberFormat="1" applyFont="1" applyFill="1" applyBorder="1" applyProtection="1"/>
    <xf numFmtId="164" fontId="7" fillId="0" borderId="84" xfId="0" applyNumberFormat="1" applyFont="1" applyFill="1" applyBorder="1" applyProtection="1"/>
    <xf numFmtId="164" fontId="7" fillId="0" borderId="85" xfId="0" applyNumberFormat="1" applyFont="1" applyFill="1" applyBorder="1" applyProtection="1"/>
    <xf numFmtId="164" fontId="17" fillId="0" borderId="82" xfId="0" applyNumberFormat="1" applyFont="1" applyBorder="1"/>
    <xf numFmtId="164" fontId="29" fillId="0" borderId="74" xfId="0" applyNumberFormat="1" applyFont="1" applyFill="1" applyBorder="1" applyAlignment="1" applyProtection="1">
      <alignment horizontal="right"/>
    </xf>
    <xf numFmtId="164" fontId="6" fillId="0" borderId="7" xfId="0" applyNumberFormat="1" applyFont="1" applyBorder="1"/>
    <xf numFmtId="164" fontId="29" fillId="0" borderId="95" xfId="0" applyNumberFormat="1" applyFont="1" applyFill="1" applyBorder="1" applyAlignment="1" applyProtection="1">
      <alignment horizontal="right"/>
    </xf>
    <xf numFmtId="164" fontId="17" fillId="0" borderId="15" xfId="0" applyNumberFormat="1" applyFont="1" applyBorder="1"/>
    <xf numFmtId="0" fontId="17" fillId="0" borderId="85" xfId="0" applyFont="1" applyBorder="1"/>
    <xf numFmtId="164" fontId="9" fillId="0" borderId="67" xfId="0" applyNumberFormat="1" applyFont="1" applyFill="1" applyBorder="1" applyProtection="1"/>
    <xf numFmtId="164" fontId="9" fillId="0" borderId="85" xfId="0" applyNumberFormat="1" applyFont="1" applyBorder="1"/>
    <xf numFmtId="164" fontId="6" fillId="0" borderId="79" xfId="0" applyNumberFormat="1" applyFont="1" applyBorder="1"/>
    <xf numFmtId="0" fontId="17" fillId="0" borderId="35" xfId="0" applyFont="1" applyBorder="1"/>
    <xf numFmtId="164" fontId="9" fillId="0" borderId="35" xfId="0" applyNumberFormat="1" applyFont="1" applyFill="1" applyBorder="1" applyProtection="1"/>
    <xf numFmtId="164" fontId="9" fillId="0" borderId="35" xfId="0" applyNumberFormat="1" applyFont="1" applyBorder="1"/>
    <xf numFmtId="164" fontId="6" fillId="0" borderId="51" xfId="0" applyNumberFormat="1" applyFont="1" applyBorder="1"/>
    <xf numFmtId="0" fontId="17" fillId="0" borderId="84" xfId="0" applyFont="1" applyBorder="1"/>
    <xf numFmtId="164" fontId="9" fillId="0" borderId="84" xfId="0" applyNumberFormat="1" applyFont="1" applyFill="1" applyBorder="1" applyProtection="1"/>
    <xf numFmtId="164" fontId="9" fillId="0" borderId="84" xfId="0" applyNumberFormat="1" applyFont="1" applyBorder="1"/>
    <xf numFmtId="164" fontId="6" fillId="0" borderId="52" xfId="0" applyNumberFormat="1" applyFont="1" applyBorder="1"/>
    <xf numFmtId="1" fontId="29" fillId="0" borderId="35" xfId="0" applyNumberFormat="1" applyFont="1" applyFill="1" applyBorder="1" applyAlignment="1" applyProtection="1">
      <alignment horizontal="center"/>
      <protection hidden="1"/>
    </xf>
    <xf numFmtId="0" fontId="17" fillId="0" borderId="84" xfId="0" applyFont="1" applyFill="1" applyBorder="1" applyProtection="1"/>
    <xf numFmtId="0" fontId="17" fillId="0" borderId="85" xfId="0" applyFont="1" applyFill="1" applyBorder="1" applyProtection="1"/>
    <xf numFmtId="0" fontId="17" fillId="0" borderId="83" xfId="0" applyFont="1" applyFill="1" applyBorder="1"/>
    <xf numFmtId="0" fontId="17" fillId="0" borderId="19" xfId="0" applyFont="1" applyFill="1" applyBorder="1"/>
    <xf numFmtId="0" fontId="17" fillId="0" borderId="20" xfId="0" applyFont="1" applyFill="1" applyBorder="1"/>
    <xf numFmtId="164" fontId="17" fillId="0" borderId="88" xfId="0" applyNumberFormat="1" applyFont="1" applyFill="1" applyBorder="1" applyProtection="1"/>
    <xf numFmtId="164" fontId="17" fillId="0" borderId="62" xfId="0" applyNumberFormat="1" applyFont="1" applyFill="1" applyBorder="1" applyProtection="1"/>
    <xf numFmtId="164" fontId="17" fillId="0" borderId="95" xfId="0" applyNumberFormat="1" applyFont="1" applyFill="1" applyBorder="1" applyAlignment="1" applyProtection="1">
      <alignment horizontal="center"/>
    </xf>
    <xf numFmtId="164" fontId="17" fillId="0" borderId="17" xfId="0" applyNumberFormat="1" applyFont="1" applyFill="1" applyBorder="1" applyAlignment="1" applyProtection="1">
      <alignment horizontal="center"/>
    </xf>
    <xf numFmtId="164" fontId="17" fillId="0" borderId="32" xfId="0" applyNumberFormat="1" applyFont="1" applyFill="1" applyBorder="1" applyAlignment="1" applyProtection="1">
      <alignment horizontal="center"/>
    </xf>
    <xf numFmtId="0" fontId="9" fillId="0" borderId="21" xfId="0" applyFont="1" applyBorder="1"/>
    <xf numFmtId="0" fontId="6" fillId="0" borderId="5" xfId="0" applyFont="1" applyFill="1" applyBorder="1"/>
    <xf numFmtId="164" fontId="17" fillId="21" borderId="0" xfId="0" applyNumberFormat="1" applyFont="1" applyFill="1" applyBorder="1" applyProtection="1">
      <protection hidden="1"/>
    </xf>
    <xf numFmtId="164" fontId="17" fillId="21" borderId="1" xfId="0" applyNumberFormat="1" applyFont="1" applyFill="1" applyBorder="1" applyProtection="1">
      <protection hidden="1"/>
    </xf>
    <xf numFmtId="164" fontId="17" fillId="21" borderId="47" xfId="0" applyNumberFormat="1" applyFont="1" applyFill="1" applyBorder="1" applyProtection="1">
      <protection hidden="1"/>
    </xf>
    <xf numFmtId="0" fontId="10" fillId="21" borderId="98" xfId="0" applyFont="1" applyFill="1" applyBorder="1" applyAlignment="1" applyProtection="1">
      <alignment horizontal="center"/>
      <protection hidden="1"/>
    </xf>
    <xf numFmtId="49" fontId="17" fillId="0" borderId="98" xfId="0" applyNumberFormat="1" applyFont="1" applyFill="1" applyBorder="1" applyAlignment="1" applyProtection="1">
      <alignment horizontal="center"/>
      <protection hidden="1"/>
    </xf>
    <xf numFmtId="0" fontId="10" fillId="21" borderId="85" xfId="0" applyFont="1" applyFill="1" applyBorder="1" applyAlignment="1" applyProtection="1">
      <alignment horizontal="center"/>
      <protection hidden="1"/>
    </xf>
    <xf numFmtId="49" fontId="17" fillId="0" borderId="85" xfId="0" applyNumberFormat="1" applyFont="1" applyFill="1" applyBorder="1" applyAlignment="1" applyProtection="1">
      <alignment horizontal="center"/>
      <protection hidden="1"/>
    </xf>
    <xf numFmtId="0" fontId="10" fillId="21" borderId="104" xfId="0" applyFont="1" applyFill="1" applyBorder="1" applyAlignment="1" applyProtection="1">
      <alignment horizontal="center"/>
      <protection hidden="1"/>
    </xf>
    <xf numFmtId="49" fontId="17" fillId="0" borderId="104" xfId="0" applyNumberFormat="1" applyFont="1" applyFill="1" applyBorder="1" applyAlignment="1" applyProtection="1">
      <alignment horizontal="center"/>
      <protection hidden="1"/>
    </xf>
    <xf numFmtId="0" fontId="17" fillId="0" borderId="104" xfId="0" applyFont="1" applyFill="1" applyBorder="1" applyAlignment="1" applyProtection="1">
      <alignment horizontal="center"/>
      <protection hidden="1"/>
    </xf>
    <xf numFmtId="1" fontId="6" fillId="21" borderId="104" xfId="0" applyNumberFormat="1" applyFont="1" applyFill="1" applyBorder="1" applyAlignment="1" applyProtection="1">
      <alignment horizontal="center"/>
      <protection hidden="1"/>
    </xf>
    <xf numFmtId="1" fontId="6" fillId="0" borderId="104" xfId="0" applyNumberFormat="1" applyFont="1" applyFill="1" applyBorder="1" applyAlignment="1" applyProtection="1">
      <alignment horizontal="center"/>
      <protection hidden="1"/>
    </xf>
    <xf numFmtId="0" fontId="17" fillId="0" borderId="104" xfId="0" applyFont="1" applyBorder="1" applyProtection="1">
      <protection hidden="1"/>
    </xf>
    <xf numFmtId="0" fontId="17" fillId="0" borderId="105" xfId="0" applyFont="1" applyBorder="1" applyProtection="1">
      <protection hidden="1"/>
    </xf>
    <xf numFmtId="0" fontId="9" fillId="0" borderId="110" xfId="0" applyFont="1" applyBorder="1" applyProtection="1">
      <protection hidden="1"/>
    </xf>
    <xf numFmtId="0" fontId="6" fillId="0" borderId="111" xfId="0" applyFont="1" applyBorder="1" applyProtection="1">
      <protection hidden="1"/>
    </xf>
    <xf numFmtId="0" fontId="6" fillId="0" borderId="112" xfId="0" applyFont="1" applyBorder="1" applyProtection="1">
      <protection hidden="1"/>
    </xf>
    <xf numFmtId="0" fontId="9" fillId="0" borderId="110" xfId="0" applyNumberFormat="1" applyFont="1" applyBorder="1" applyProtection="1">
      <protection hidden="1"/>
    </xf>
    <xf numFmtId="49" fontId="14" fillId="0" borderId="110" xfId="0" applyNumberFormat="1" applyFont="1" applyBorder="1" applyProtection="1">
      <protection hidden="1"/>
    </xf>
    <xf numFmtId="0" fontId="9" fillId="0" borderId="113" xfId="0" applyFont="1" applyBorder="1" applyProtection="1">
      <protection hidden="1"/>
    </xf>
    <xf numFmtId="49" fontId="9" fillId="0" borderId="110" xfId="0" applyNumberFormat="1" applyFont="1" applyFill="1" applyBorder="1" applyProtection="1">
      <protection hidden="1"/>
    </xf>
    <xf numFmtId="0" fontId="9" fillId="0" borderId="110" xfId="0" applyNumberFormat="1" applyFont="1" applyFill="1" applyBorder="1" applyProtection="1">
      <protection hidden="1"/>
    </xf>
    <xf numFmtId="0" fontId="39" fillId="0" borderId="110" xfId="0" applyNumberFormat="1" applyFont="1" applyFill="1" applyBorder="1" applyProtection="1">
      <protection hidden="1"/>
    </xf>
    <xf numFmtId="0" fontId="9" fillId="0" borderId="113" xfId="0" applyNumberFormat="1" applyFont="1" applyBorder="1" applyProtection="1">
      <protection hidden="1"/>
    </xf>
    <xf numFmtId="0" fontId="10" fillId="0" borderId="110" xfId="0" applyFont="1" applyBorder="1" applyProtection="1">
      <protection hidden="1"/>
    </xf>
    <xf numFmtId="0" fontId="6" fillId="0" borderId="110" xfId="0" applyFont="1" applyBorder="1" applyProtection="1">
      <protection hidden="1"/>
    </xf>
    <xf numFmtId="0" fontId="9" fillId="0" borderId="114" xfId="0" applyFont="1" applyFill="1" applyBorder="1" applyProtection="1">
      <protection hidden="1"/>
    </xf>
    <xf numFmtId="0" fontId="5" fillId="6" borderId="115" xfId="0" applyFont="1" applyFill="1" applyBorder="1" applyProtection="1">
      <protection hidden="1"/>
    </xf>
    <xf numFmtId="0" fontId="17" fillId="0" borderId="110" xfId="0" applyNumberFormat="1" applyFont="1" applyBorder="1" applyProtection="1">
      <protection hidden="1"/>
    </xf>
    <xf numFmtId="0" fontId="9" fillId="0" borderId="114" xfId="0" applyNumberFormat="1" applyFont="1" applyBorder="1" applyProtection="1">
      <protection hidden="1"/>
    </xf>
    <xf numFmtId="0" fontId="6" fillId="21" borderId="116" xfId="0" applyFont="1" applyFill="1" applyBorder="1" applyProtection="1">
      <protection hidden="1"/>
    </xf>
    <xf numFmtId="0" fontId="9" fillId="0" borderId="111" xfId="0" applyNumberFormat="1" applyFont="1" applyBorder="1" applyProtection="1">
      <protection hidden="1"/>
    </xf>
    <xf numFmtId="0" fontId="9" fillId="16" borderId="110" xfId="0" applyNumberFormat="1" applyFont="1" applyFill="1" applyBorder="1" applyProtection="1">
      <protection hidden="1"/>
    </xf>
    <xf numFmtId="0" fontId="9" fillId="0" borderId="113" xfId="0" applyFont="1" applyFill="1" applyBorder="1" applyProtection="1">
      <protection hidden="1"/>
    </xf>
    <xf numFmtId="0" fontId="5" fillId="6" borderId="109" xfId="0" applyFont="1" applyFill="1" applyBorder="1" applyProtection="1">
      <protection hidden="1"/>
    </xf>
    <xf numFmtId="164" fontId="9" fillId="5" borderId="98" xfId="0" applyNumberFormat="1" applyFont="1" applyFill="1" applyBorder="1" applyProtection="1">
      <protection hidden="1"/>
    </xf>
    <xf numFmtId="164" fontId="9" fillId="0" borderId="98" xfId="0" applyNumberFormat="1" applyFont="1" applyFill="1" applyBorder="1" applyProtection="1">
      <protection hidden="1"/>
    </xf>
    <xf numFmtId="164" fontId="9" fillId="0" borderId="85" xfId="0" applyNumberFormat="1" applyFont="1" applyFill="1" applyBorder="1" applyProtection="1">
      <protection hidden="1"/>
    </xf>
    <xf numFmtId="0" fontId="10" fillId="0" borderId="113" xfId="0" applyFont="1" applyFill="1" applyBorder="1" applyProtection="1">
      <protection hidden="1"/>
    </xf>
    <xf numFmtId="0" fontId="34" fillId="0" borderId="110" xfId="0" applyFont="1" applyFill="1" applyBorder="1" applyProtection="1">
      <protection hidden="1"/>
    </xf>
    <xf numFmtId="8" fontId="9" fillId="0" borderId="118" xfId="0" applyNumberFormat="1" applyFont="1" applyFill="1" applyBorder="1" applyProtection="1">
      <protection hidden="1"/>
    </xf>
    <xf numFmtId="8" fontId="17" fillId="0" borderId="98" xfId="0" applyNumberFormat="1" applyFont="1" applyFill="1" applyBorder="1" applyProtection="1">
      <protection hidden="1"/>
    </xf>
    <xf numFmtId="164" fontId="9" fillId="0" borderId="118" xfId="0" applyNumberFormat="1" applyFont="1" applyFill="1" applyBorder="1" applyProtection="1">
      <protection hidden="1"/>
    </xf>
    <xf numFmtId="8" fontId="17" fillId="0" borderId="85" xfId="0" applyNumberFormat="1" applyFont="1" applyFill="1" applyBorder="1" applyProtection="1">
      <protection hidden="1"/>
    </xf>
    <xf numFmtId="164" fontId="9" fillId="0" borderId="125" xfId="0" applyNumberFormat="1" applyFont="1" applyFill="1" applyBorder="1" applyProtection="1">
      <protection hidden="1"/>
    </xf>
    <xf numFmtId="8" fontId="17" fillId="0" borderId="104" xfId="0" applyNumberFormat="1" applyFont="1" applyFill="1" applyBorder="1" applyProtection="1">
      <protection hidden="1"/>
    </xf>
    <xf numFmtId="0" fontId="67" fillId="24" borderId="116" xfId="0" applyFont="1" applyFill="1" applyBorder="1" applyProtection="1">
      <protection hidden="1"/>
    </xf>
    <xf numFmtId="8" fontId="67" fillId="24" borderId="121" xfId="0" applyNumberFormat="1" applyFont="1" applyFill="1" applyBorder="1" applyProtection="1">
      <protection hidden="1"/>
    </xf>
    <xf numFmtId="8" fontId="67" fillId="24" borderId="96" xfId="0" applyNumberFormat="1" applyFont="1" applyFill="1" applyBorder="1" applyProtection="1">
      <protection hidden="1"/>
    </xf>
    <xf numFmtId="8" fontId="67" fillId="24" borderId="127" xfId="0" applyNumberFormat="1" applyFont="1" applyFill="1" applyBorder="1" applyProtection="1">
      <protection hidden="1"/>
    </xf>
    <xf numFmtId="8" fontId="67" fillId="24" borderId="32" xfId="0" applyNumberFormat="1" applyFont="1" applyFill="1" applyBorder="1" applyProtection="1">
      <protection hidden="1"/>
    </xf>
    <xf numFmtId="14" fontId="5" fillId="0" borderId="17" xfId="0" applyNumberFormat="1" applyFont="1" applyFill="1" applyBorder="1" applyProtection="1">
      <protection hidden="1"/>
    </xf>
    <xf numFmtId="14" fontId="5" fillId="0" borderId="17" xfId="0" applyNumberFormat="1" applyFont="1" applyBorder="1" applyProtection="1">
      <protection hidden="1"/>
    </xf>
    <xf numFmtId="1" fontId="34" fillId="0" borderId="104" xfId="0" applyNumberFormat="1" applyFont="1" applyFill="1" applyBorder="1" applyAlignment="1" applyProtection="1">
      <alignment horizontal="center"/>
      <protection hidden="1"/>
    </xf>
    <xf numFmtId="1" fontId="34" fillId="0" borderId="98" xfId="0" applyNumberFormat="1" applyFont="1" applyFill="1" applyBorder="1" applyAlignment="1" applyProtection="1">
      <alignment horizontal="center"/>
      <protection hidden="1"/>
    </xf>
    <xf numFmtId="1" fontId="34" fillId="0" borderId="85" xfId="0" applyNumberFormat="1" applyFont="1" applyFill="1" applyBorder="1" applyAlignment="1" applyProtection="1">
      <alignment horizontal="center"/>
      <protection hidden="1"/>
    </xf>
    <xf numFmtId="164" fontId="5" fillId="6" borderId="108" xfId="0" applyNumberFormat="1" applyFont="1" applyFill="1" applyBorder="1" applyProtection="1">
      <protection hidden="1"/>
    </xf>
    <xf numFmtId="164" fontId="5" fillId="6" borderId="101" xfId="0" applyNumberFormat="1" applyFont="1" applyFill="1" applyBorder="1" applyProtection="1">
      <protection hidden="1"/>
    </xf>
    <xf numFmtId="164" fontId="5" fillId="6" borderId="103" xfId="0" applyNumberFormat="1" applyFont="1" applyFill="1" applyBorder="1" applyProtection="1">
      <protection hidden="1"/>
    </xf>
    <xf numFmtId="164" fontId="34" fillId="0" borderId="118" xfId="0" applyNumberFormat="1" applyFont="1" applyFill="1" applyBorder="1" applyProtection="1">
      <protection hidden="1"/>
    </xf>
    <xf numFmtId="164" fontId="34" fillId="16" borderId="118" xfId="0" applyNumberFormat="1" applyFont="1" applyFill="1" applyBorder="1" applyProtection="1">
      <protection hidden="1"/>
    </xf>
    <xf numFmtId="164" fontId="34" fillId="16" borderId="28" xfId="0" applyNumberFormat="1" applyFont="1" applyFill="1" applyBorder="1" applyProtection="1">
      <protection hidden="1"/>
    </xf>
    <xf numFmtId="164" fontId="5" fillId="6" borderId="97" xfId="0" applyNumberFormat="1" applyFont="1" applyFill="1" applyBorder="1" applyProtection="1">
      <protection hidden="1"/>
    </xf>
    <xf numFmtId="164" fontId="5" fillId="6" borderId="88" xfId="0" applyNumberFormat="1" applyFont="1" applyFill="1" applyBorder="1" applyProtection="1">
      <protection hidden="1"/>
    </xf>
    <xf numFmtId="0" fontId="17" fillId="0" borderId="105" xfId="0" applyFont="1" applyFill="1" applyBorder="1" applyAlignment="1" applyProtection="1">
      <alignment horizontal="center"/>
      <protection hidden="1"/>
    </xf>
    <xf numFmtId="0" fontId="17" fillId="0" borderId="97" xfId="0" applyFont="1" applyFill="1" applyBorder="1" applyAlignment="1" applyProtection="1">
      <alignment horizontal="center"/>
      <protection hidden="1"/>
    </xf>
    <xf numFmtId="0" fontId="17" fillId="0" borderId="88" xfId="0" applyFont="1" applyFill="1" applyBorder="1" applyAlignment="1" applyProtection="1">
      <alignment horizontal="center"/>
      <protection hidden="1"/>
    </xf>
    <xf numFmtId="0" fontId="17" fillId="0" borderId="112" xfId="0" applyFont="1" applyFill="1" applyBorder="1" applyProtection="1">
      <protection hidden="1"/>
    </xf>
    <xf numFmtId="0" fontId="17" fillId="0" borderId="113" xfId="0" applyFont="1" applyBorder="1" applyProtection="1">
      <protection hidden="1"/>
    </xf>
    <xf numFmtId="0" fontId="6" fillId="0" borderId="110" xfId="0" applyFont="1" applyFill="1" applyBorder="1" applyProtection="1">
      <protection hidden="1"/>
    </xf>
    <xf numFmtId="0" fontId="17" fillId="0" borderId="110" xfId="0" applyFont="1" applyFill="1" applyBorder="1" applyProtection="1">
      <protection hidden="1"/>
    </xf>
    <xf numFmtId="164" fontId="17" fillId="0" borderId="113" xfId="0" applyNumberFormat="1" applyFont="1" applyFill="1" applyBorder="1" applyProtection="1">
      <protection hidden="1"/>
    </xf>
    <xf numFmtId="0" fontId="17" fillId="0" borderId="113" xfId="0" applyFont="1" applyFill="1" applyBorder="1" applyProtection="1">
      <protection hidden="1"/>
    </xf>
    <xf numFmtId="49" fontId="6" fillId="0" borderId="110" xfId="0" applyNumberFormat="1" applyFont="1" applyFill="1" applyBorder="1" applyProtection="1">
      <protection hidden="1"/>
    </xf>
    <xf numFmtId="0" fontId="17" fillId="0" borderId="110" xfId="0" applyFont="1" applyBorder="1" applyProtection="1">
      <protection hidden="1"/>
    </xf>
    <xf numFmtId="0" fontId="17" fillId="0" borderId="113" xfId="0" applyNumberFormat="1" applyFont="1" applyBorder="1" applyProtection="1">
      <protection hidden="1"/>
    </xf>
    <xf numFmtId="0" fontId="17" fillId="0" borderId="109" xfId="0" applyFont="1" applyBorder="1" applyProtection="1">
      <protection hidden="1"/>
    </xf>
    <xf numFmtId="164" fontId="73" fillId="21" borderId="106" xfId="0" applyNumberFormat="1" applyFont="1" applyFill="1" applyBorder="1" applyProtection="1">
      <protection hidden="1"/>
    </xf>
    <xf numFmtId="164" fontId="73" fillId="0" borderId="106" xfId="0" applyNumberFormat="1" applyFont="1" applyFill="1" applyBorder="1" applyProtection="1">
      <protection hidden="1"/>
    </xf>
    <xf numFmtId="164" fontId="73" fillId="0" borderId="99" xfId="0" applyNumberFormat="1" applyFont="1" applyFill="1" applyBorder="1" applyProtection="1">
      <protection hidden="1"/>
    </xf>
    <xf numFmtId="164" fontId="73" fillId="0" borderId="20" xfId="0" applyNumberFormat="1" applyFont="1" applyFill="1" applyBorder="1" applyProtection="1">
      <protection hidden="1"/>
    </xf>
    <xf numFmtId="164" fontId="73" fillId="0" borderId="104" xfId="0" applyNumberFormat="1" applyFont="1" applyFill="1" applyBorder="1" applyProtection="1">
      <protection hidden="1"/>
    </xf>
    <xf numFmtId="164" fontId="73" fillId="0" borderId="104" xfId="0" applyNumberFormat="1" applyFont="1" applyBorder="1" applyProtection="1">
      <protection hidden="1"/>
    </xf>
    <xf numFmtId="164" fontId="73" fillId="0" borderId="98" xfId="0" applyNumberFormat="1" applyFont="1" applyBorder="1" applyProtection="1">
      <protection hidden="1"/>
    </xf>
    <xf numFmtId="164" fontId="73" fillId="0" borderId="85" xfId="0" applyNumberFormat="1" applyFont="1" applyBorder="1" applyProtection="1">
      <protection hidden="1"/>
    </xf>
    <xf numFmtId="164" fontId="73" fillId="21" borderId="104" xfId="0" applyNumberFormat="1" applyFont="1" applyFill="1" applyBorder="1" applyProtection="1">
      <protection hidden="1"/>
    </xf>
    <xf numFmtId="164" fontId="73" fillId="0" borderId="98" xfId="0" applyNumberFormat="1" applyFont="1" applyFill="1" applyBorder="1" applyProtection="1">
      <protection hidden="1"/>
    </xf>
    <xf numFmtId="164" fontId="73" fillId="0" borderId="85" xfId="0" applyNumberFormat="1" applyFont="1" applyFill="1" applyBorder="1" applyProtection="1">
      <protection hidden="1"/>
    </xf>
    <xf numFmtId="164" fontId="109" fillId="0" borderId="104" xfId="0" applyNumberFormat="1" applyFont="1" applyFill="1" applyBorder="1" applyProtection="1">
      <protection hidden="1"/>
    </xf>
    <xf numFmtId="164" fontId="109" fillId="0" borderId="98" xfId="0" applyNumberFormat="1" applyFont="1" applyFill="1" applyBorder="1" applyProtection="1">
      <protection hidden="1"/>
    </xf>
    <xf numFmtId="164" fontId="15" fillId="5" borderId="104" xfId="0" applyNumberFormat="1" applyFont="1" applyFill="1" applyBorder="1" applyProtection="1">
      <protection hidden="1"/>
    </xf>
    <xf numFmtId="164" fontId="15" fillId="5" borderId="98" xfId="0" applyNumberFormat="1" applyFont="1" applyFill="1" applyBorder="1" applyProtection="1">
      <protection hidden="1"/>
    </xf>
    <xf numFmtId="164" fontId="15" fillId="5" borderId="85" xfId="0" applyNumberFormat="1" applyFont="1" applyFill="1" applyBorder="1" applyProtection="1">
      <protection hidden="1"/>
    </xf>
    <xf numFmtId="164" fontId="73" fillId="21" borderId="107" xfId="0" applyNumberFormat="1" applyFont="1" applyFill="1" applyBorder="1" applyProtection="1">
      <protection hidden="1"/>
    </xf>
    <xf numFmtId="164" fontId="73" fillId="0" borderId="107" xfId="0" applyNumberFormat="1" applyFont="1" applyFill="1" applyBorder="1" applyProtection="1">
      <protection hidden="1"/>
    </xf>
    <xf numFmtId="164" fontId="73" fillId="0" borderId="100" xfId="0" applyNumberFormat="1" applyFont="1" applyFill="1" applyBorder="1" applyProtection="1">
      <protection hidden="1"/>
    </xf>
    <xf numFmtId="164" fontId="73" fillId="0" borderId="102" xfId="0" applyNumberFormat="1" applyFont="1" applyFill="1" applyBorder="1" applyProtection="1">
      <protection hidden="1"/>
    </xf>
    <xf numFmtId="164" fontId="73" fillId="21" borderId="98" xfId="0" applyNumberFormat="1" applyFont="1" applyFill="1" applyBorder="1" applyProtection="1">
      <protection hidden="1"/>
    </xf>
    <xf numFmtId="164" fontId="73" fillId="21" borderId="100" xfId="0" applyNumberFormat="1" applyFont="1" applyFill="1" applyBorder="1" applyProtection="1">
      <protection hidden="1"/>
    </xf>
    <xf numFmtId="164" fontId="73" fillId="21" borderId="118" xfId="0" applyNumberFormat="1" applyFont="1" applyFill="1" applyBorder="1" applyProtection="1">
      <protection hidden="1"/>
    </xf>
    <xf numFmtId="164" fontId="73" fillId="0" borderId="118" xfId="0" applyNumberFormat="1" applyFont="1" applyFill="1" applyBorder="1" applyProtection="1">
      <protection hidden="1"/>
    </xf>
    <xf numFmtId="164" fontId="73" fillId="0" borderId="28" xfId="0" applyNumberFormat="1" applyFont="1" applyFill="1" applyBorder="1" applyProtection="1">
      <protection hidden="1"/>
    </xf>
    <xf numFmtId="164" fontId="73" fillId="21" borderId="101" xfId="0" applyNumberFormat="1" applyFont="1" applyFill="1" applyBorder="1" applyProtection="1">
      <protection hidden="1"/>
    </xf>
    <xf numFmtId="164" fontId="73" fillId="0" borderId="121" xfId="0" applyNumberFormat="1" applyFont="1" applyFill="1" applyBorder="1" applyProtection="1">
      <protection hidden="1"/>
    </xf>
    <xf numFmtId="164" fontId="73" fillId="0" borderId="32" xfId="0" applyNumberFormat="1" applyFont="1" applyFill="1" applyBorder="1" applyProtection="1">
      <protection hidden="1"/>
    </xf>
    <xf numFmtId="164" fontId="73" fillId="0" borderId="120" xfId="0" applyNumberFormat="1" applyFont="1" applyFill="1" applyBorder="1" applyProtection="1">
      <protection hidden="1"/>
    </xf>
    <xf numFmtId="164" fontId="73" fillId="0" borderId="42" xfId="0" applyNumberFormat="1" applyFont="1" applyFill="1" applyBorder="1" applyProtection="1">
      <protection hidden="1"/>
    </xf>
    <xf numFmtId="164" fontId="73" fillId="0" borderId="119" xfId="0" applyNumberFormat="1" applyFont="1" applyFill="1" applyBorder="1" applyProtection="1">
      <protection hidden="1"/>
    </xf>
    <xf numFmtId="164" fontId="73" fillId="21" borderId="99" xfId="0" applyNumberFormat="1" applyFont="1" applyFill="1" applyBorder="1" applyProtection="1">
      <protection hidden="1"/>
    </xf>
    <xf numFmtId="164" fontId="73" fillId="0" borderId="99" xfId="0" applyNumberFormat="1" applyFont="1" applyBorder="1" applyProtection="1">
      <protection hidden="1"/>
    </xf>
    <xf numFmtId="164" fontId="73" fillId="0" borderId="20" xfId="0" applyNumberFormat="1" applyFont="1" applyBorder="1" applyProtection="1">
      <protection hidden="1"/>
    </xf>
    <xf numFmtId="164" fontId="73" fillId="21" borderId="120" xfId="0" applyNumberFormat="1" applyFont="1" applyFill="1" applyBorder="1" applyProtection="1">
      <protection hidden="1"/>
    </xf>
    <xf numFmtId="164" fontId="73" fillId="0" borderId="75" xfId="0" applyNumberFormat="1" applyFont="1" applyFill="1" applyBorder="1" applyProtection="1">
      <protection hidden="1"/>
    </xf>
    <xf numFmtId="164" fontId="73" fillId="16" borderId="98" xfId="0" applyNumberFormat="1" applyFont="1" applyFill="1" applyBorder="1" applyProtection="1">
      <protection hidden="1"/>
    </xf>
    <xf numFmtId="164" fontId="73" fillId="16" borderId="85" xfId="0" applyNumberFormat="1" applyFont="1" applyFill="1" applyBorder="1" applyProtection="1">
      <protection hidden="1"/>
    </xf>
    <xf numFmtId="164" fontId="73" fillId="0" borderId="79" xfId="0" applyNumberFormat="1" applyFont="1" applyFill="1" applyBorder="1" applyProtection="1">
      <protection hidden="1"/>
    </xf>
    <xf numFmtId="0" fontId="73" fillId="0" borderId="100" xfId="0" applyFont="1" applyBorder="1" applyProtection="1">
      <protection hidden="1"/>
    </xf>
    <xf numFmtId="164" fontId="73" fillId="0" borderId="100" xfId="0" applyNumberFormat="1" applyFont="1" applyBorder="1" applyProtection="1">
      <protection hidden="1"/>
    </xf>
    <xf numFmtId="164" fontId="73" fillId="0" borderId="107" xfId="0" applyNumberFormat="1" applyFont="1" applyBorder="1" applyProtection="1">
      <protection hidden="1"/>
    </xf>
    <xf numFmtId="164" fontId="73" fillId="0" borderId="102" xfId="0" applyNumberFormat="1" applyFont="1" applyBorder="1" applyProtection="1">
      <protection hidden="1"/>
    </xf>
    <xf numFmtId="0" fontId="73" fillId="21" borderId="120" xfId="0" applyFont="1" applyFill="1" applyBorder="1" applyProtection="1">
      <protection hidden="1"/>
    </xf>
    <xf numFmtId="0" fontId="73" fillId="0" borderId="120" xfId="0" applyFont="1" applyFill="1" applyBorder="1" applyProtection="1">
      <protection hidden="1"/>
    </xf>
    <xf numFmtId="164" fontId="73" fillId="0" borderId="124" xfId="0" applyNumberFormat="1" applyFont="1" applyFill="1" applyBorder="1" applyProtection="1">
      <protection hidden="1"/>
    </xf>
    <xf numFmtId="0" fontId="73" fillId="21" borderId="118" xfId="0" applyFont="1" applyFill="1" applyBorder="1" applyProtection="1">
      <protection hidden="1"/>
    </xf>
    <xf numFmtId="164" fontId="73" fillId="0" borderId="118" xfId="0" applyNumberFormat="1" applyFont="1" applyBorder="1" applyProtection="1">
      <protection hidden="1"/>
    </xf>
    <xf numFmtId="164" fontId="73" fillId="0" borderId="125" xfId="0" applyNumberFormat="1" applyFont="1" applyBorder="1" applyProtection="1">
      <protection hidden="1"/>
    </xf>
    <xf numFmtId="164" fontId="73" fillId="0" borderId="28" xfId="0" applyNumberFormat="1" applyFont="1" applyBorder="1" applyProtection="1">
      <protection hidden="1"/>
    </xf>
    <xf numFmtId="164" fontId="110" fillId="21" borderId="98" xfId="0" applyNumberFormat="1" applyFont="1" applyFill="1" applyBorder="1" applyProtection="1">
      <protection hidden="1"/>
    </xf>
    <xf numFmtId="10" fontId="73" fillId="0" borderId="98" xfId="0" applyNumberFormat="1" applyFont="1" applyFill="1" applyBorder="1" applyProtection="1">
      <protection hidden="1"/>
    </xf>
    <xf numFmtId="10" fontId="73" fillId="0" borderId="104" xfId="0" applyNumberFormat="1" applyFont="1" applyFill="1" applyBorder="1" applyProtection="1">
      <protection hidden="1"/>
    </xf>
    <xf numFmtId="10" fontId="73" fillId="0" borderId="85" xfId="0" applyNumberFormat="1" applyFont="1" applyFill="1" applyBorder="1" applyProtection="1">
      <protection hidden="1"/>
    </xf>
    <xf numFmtId="164" fontId="73" fillId="0" borderId="125" xfId="0" applyNumberFormat="1" applyFont="1" applyFill="1" applyBorder="1" applyProtection="1">
      <protection hidden="1"/>
    </xf>
    <xf numFmtId="164" fontId="73" fillId="0" borderId="120" xfId="1" applyNumberFormat="1" applyFont="1" applyBorder="1" applyProtection="1">
      <protection hidden="1"/>
    </xf>
    <xf numFmtId="0" fontId="73" fillId="0" borderId="120" xfId="0" applyFont="1" applyBorder="1" applyProtection="1">
      <protection hidden="1"/>
    </xf>
    <xf numFmtId="0" fontId="73" fillId="0" borderId="124" xfId="0" applyFont="1" applyBorder="1" applyProtection="1">
      <protection hidden="1"/>
    </xf>
    <xf numFmtId="0" fontId="73" fillId="0" borderId="42" xfId="0" applyFont="1" applyBorder="1" applyProtection="1">
      <protection hidden="1"/>
    </xf>
    <xf numFmtId="164" fontId="73" fillId="0" borderId="124" xfId="1" applyNumberFormat="1" applyFont="1" applyBorder="1" applyProtection="1">
      <protection hidden="1"/>
    </xf>
    <xf numFmtId="164" fontId="73" fillId="0" borderId="42" xfId="1" applyNumberFormat="1" applyFont="1" applyBorder="1" applyProtection="1">
      <protection hidden="1"/>
    </xf>
    <xf numFmtId="0" fontId="73" fillId="0" borderId="98" xfId="0" applyFont="1" applyFill="1" applyBorder="1" applyProtection="1">
      <protection hidden="1"/>
    </xf>
    <xf numFmtId="0" fontId="73" fillId="0" borderId="104" xfId="0" applyFont="1" applyFill="1" applyBorder="1" applyProtection="1">
      <protection hidden="1"/>
    </xf>
    <xf numFmtId="0" fontId="73" fillId="0" borderId="85" xfId="0" applyFont="1" applyFill="1" applyBorder="1" applyProtection="1">
      <protection hidden="1"/>
    </xf>
    <xf numFmtId="0" fontId="73" fillId="0" borderId="118" xfId="0" applyFont="1" applyFill="1" applyBorder="1" applyProtection="1">
      <protection hidden="1"/>
    </xf>
    <xf numFmtId="0" fontId="73" fillId="0" borderId="125" xfId="0" applyFont="1" applyFill="1" applyBorder="1" applyProtection="1">
      <protection hidden="1"/>
    </xf>
    <xf numFmtId="0" fontId="73" fillId="0" borderId="28" xfId="0" applyFont="1" applyFill="1" applyBorder="1" applyProtection="1">
      <protection hidden="1"/>
    </xf>
    <xf numFmtId="0" fontId="73" fillId="0" borderId="98" xfId="0" applyFont="1" applyBorder="1" applyProtection="1">
      <protection hidden="1"/>
    </xf>
    <xf numFmtId="0" fontId="73" fillId="0" borderId="104" xfId="0" applyFont="1" applyBorder="1" applyProtection="1">
      <protection hidden="1"/>
    </xf>
    <xf numFmtId="0" fontId="73" fillId="0" borderId="85" xfId="0" applyFont="1" applyBorder="1" applyProtection="1">
      <protection hidden="1"/>
    </xf>
    <xf numFmtId="164" fontId="73" fillId="21" borderId="119" xfId="0" applyNumberFormat="1" applyFont="1" applyFill="1" applyBorder="1" applyProtection="1">
      <protection hidden="1"/>
    </xf>
    <xf numFmtId="164" fontId="73" fillId="0" borderId="122" xfId="0" applyNumberFormat="1" applyFont="1" applyFill="1" applyBorder="1" applyProtection="1">
      <protection hidden="1"/>
    </xf>
    <xf numFmtId="164" fontId="73" fillId="0" borderId="122" xfId="0" applyNumberFormat="1" applyFont="1" applyBorder="1" applyProtection="1">
      <protection hidden="1"/>
    </xf>
    <xf numFmtId="164" fontId="73" fillId="0" borderId="126" xfId="0" applyNumberFormat="1" applyFont="1" applyBorder="1" applyProtection="1">
      <protection hidden="1"/>
    </xf>
    <xf numFmtId="164" fontId="73" fillId="0" borderId="123" xfId="0" applyNumberFormat="1" applyFont="1" applyBorder="1" applyProtection="1">
      <protection hidden="1"/>
    </xf>
    <xf numFmtId="164" fontId="15" fillId="21" borderId="98" xfId="0" applyNumberFormat="1" applyFont="1" applyFill="1" applyBorder="1" applyProtection="1">
      <protection hidden="1"/>
    </xf>
    <xf numFmtId="164" fontId="111" fillId="0" borderId="98" xfId="0" applyNumberFormat="1" applyFont="1" applyFill="1" applyBorder="1" applyProtection="1">
      <protection hidden="1"/>
    </xf>
    <xf numFmtId="164" fontId="111" fillId="0" borderId="104" xfId="0" applyNumberFormat="1" applyFont="1" applyFill="1" applyBorder="1" applyProtection="1">
      <protection hidden="1"/>
    </xf>
    <xf numFmtId="164" fontId="111" fillId="0" borderId="85" xfId="0" applyNumberFormat="1" applyFont="1" applyFill="1" applyBorder="1" applyProtection="1">
      <protection hidden="1"/>
    </xf>
    <xf numFmtId="8" fontId="73" fillId="21" borderId="118" xfId="0" applyNumberFormat="1" applyFont="1" applyFill="1" applyBorder="1" applyProtection="1">
      <protection hidden="1"/>
    </xf>
    <xf numFmtId="8" fontId="73" fillId="21" borderId="98" xfId="0" applyNumberFormat="1" applyFont="1" applyFill="1" applyBorder="1" applyProtection="1">
      <protection hidden="1"/>
    </xf>
    <xf numFmtId="8" fontId="73" fillId="21" borderId="100" xfId="0" applyNumberFormat="1" applyFont="1" applyFill="1" applyBorder="1" applyProtection="1">
      <protection hidden="1"/>
    </xf>
    <xf numFmtId="164" fontId="110" fillId="21" borderId="120" xfId="0" applyNumberFormat="1" applyFont="1" applyFill="1" applyBorder="1" applyProtection="1">
      <protection hidden="1"/>
    </xf>
    <xf numFmtId="0" fontId="17" fillId="0" borderId="117" xfId="0" applyFont="1" applyBorder="1" applyProtection="1">
      <protection hidden="1"/>
    </xf>
    <xf numFmtId="0" fontId="17" fillId="0" borderId="114" xfId="0" applyFont="1" applyBorder="1" applyProtection="1">
      <protection hidden="1"/>
    </xf>
    <xf numFmtId="0" fontId="17" fillId="0" borderId="110" xfId="0" applyNumberFormat="1" applyFont="1" applyFill="1" applyBorder="1" applyProtection="1">
      <protection hidden="1"/>
    </xf>
    <xf numFmtId="0" fontId="17" fillId="0" borderId="114" xfId="0" applyNumberFormat="1" applyFont="1" applyFill="1" applyBorder="1" applyProtection="1">
      <protection hidden="1"/>
    </xf>
    <xf numFmtId="164" fontId="110" fillId="21" borderId="100" xfId="0" applyNumberFormat="1" applyFont="1" applyFill="1" applyBorder="1" applyProtection="1">
      <protection hidden="1"/>
    </xf>
    <xf numFmtId="49" fontId="6" fillId="21" borderId="112" xfId="0" applyNumberFormat="1" applyFont="1" applyFill="1" applyBorder="1" applyProtection="1">
      <protection hidden="1"/>
    </xf>
    <xf numFmtId="164" fontId="15" fillId="21" borderId="120" xfId="0" applyNumberFormat="1" applyFont="1" applyFill="1" applyBorder="1" applyProtection="1">
      <protection hidden="1"/>
    </xf>
    <xf numFmtId="164" fontId="15" fillId="21" borderId="124" xfId="0" applyNumberFormat="1" applyFont="1" applyFill="1" applyBorder="1" applyProtection="1">
      <protection hidden="1"/>
    </xf>
    <xf numFmtId="164" fontId="15" fillId="21" borderId="42" xfId="0" applyNumberFormat="1" applyFont="1" applyFill="1" applyBorder="1" applyProtection="1">
      <protection hidden="1"/>
    </xf>
    <xf numFmtId="164" fontId="17" fillId="0" borderId="2" xfId="0" applyNumberFormat="1" applyFont="1" applyFill="1" applyBorder="1" applyAlignment="1" applyProtection="1">
      <alignment horizontal="center"/>
      <protection locked="0" hidden="1"/>
    </xf>
    <xf numFmtId="164" fontId="17" fillId="0" borderId="8" xfId="0" applyNumberFormat="1" applyFont="1" applyFill="1" applyBorder="1" applyAlignment="1" applyProtection="1">
      <alignment horizontal="center"/>
      <protection locked="0" hidden="1"/>
    </xf>
    <xf numFmtId="164" fontId="17" fillId="0" borderId="36" xfId="0" applyNumberFormat="1" applyFont="1" applyFill="1" applyBorder="1" applyAlignment="1" applyProtection="1">
      <alignment horizontal="center"/>
      <protection locked="0" hidden="1"/>
    </xf>
    <xf numFmtId="164" fontId="17" fillId="0" borderId="37" xfId="0" applyNumberFormat="1" applyFont="1" applyFill="1" applyBorder="1" applyAlignment="1" applyProtection="1">
      <alignment horizontal="center"/>
      <protection locked="0" hidden="1"/>
    </xf>
    <xf numFmtId="0" fontId="62" fillId="0" borderId="2" xfId="0" applyFont="1" applyBorder="1" applyAlignment="1">
      <alignment horizontal="center"/>
    </xf>
    <xf numFmtId="14" fontId="17" fillId="20" borderId="2" xfId="0" applyNumberFormat="1" applyFont="1" applyFill="1" applyBorder="1" applyAlignment="1" applyProtection="1">
      <alignment horizontal="center"/>
      <protection locked="0"/>
    </xf>
    <xf numFmtId="0" fontId="112" fillId="20" borderId="21" xfId="0" applyFont="1" applyFill="1" applyBorder="1"/>
    <xf numFmtId="0" fontId="9" fillId="17" borderId="2" xfId="0" applyFont="1" applyFill="1" applyBorder="1"/>
    <xf numFmtId="164" fontId="17" fillId="17" borderId="2" xfId="0" applyNumberFormat="1" applyFont="1" applyFill="1" applyBorder="1" applyAlignment="1" applyProtection="1">
      <alignment horizontal="center"/>
    </xf>
    <xf numFmtId="0" fontId="17" fillId="0" borderId="13" xfId="0" applyFont="1" applyBorder="1"/>
    <xf numFmtId="0" fontId="62" fillId="0" borderId="128" xfId="0" applyFont="1" applyFill="1" applyBorder="1" applyAlignment="1" applyProtection="1">
      <alignment horizontal="center"/>
      <protection locked="0"/>
    </xf>
    <xf numFmtId="164" fontId="17" fillId="0" borderId="14" xfId="0" applyNumberFormat="1" applyFont="1" applyFill="1" applyBorder="1" applyAlignment="1" applyProtection="1">
      <alignment horizontal="center"/>
    </xf>
    <xf numFmtId="164" fontId="17" fillId="0" borderId="15" xfId="0" applyNumberFormat="1" applyFont="1" applyFill="1" applyBorder="1" applyAlignment="1" applyProtection="1">
      <alignment horizontal="center"/>
    </xf>
    <xf numFmtId="0" fontId="17" fillId="17" borderId="5" xfId="0" applyFont="1" applyFill="1" applyBorder="1"/>
    <xf numFmtId="14" fontId="17" fillId="4" borderId="1" xfId="0" applyNumberFormat="1" applyFont="1" applyFill="1" applyBorder="1" applyAlignment="1" applyProtection="1">
      <alignment horizontal="center"/>
      <protection locked="0"/>
    </xf>
    <xf numFmtId="14" fontId="17" fillId="0" borderId="1" xfId="0" applyNumberFormat="1" applyFont="1" applyFill="1" applyBorder="1" applyAlignment="1" applyProtection="1">
      <alignment horizontal="center"/>
      <protection hidden="1"/>
    </xf>
    <xf numFmtId="1" fontId="17" fillId="0" borderId="1" xfId="0" applyNumberFormat="1" applyFont="1" applyFill="1" applyBorder="1" applyAlignment="1" applyProtection="1">
      <alignment horizontal="center"/>
    </xf>
    <xf numFmtId="164" fontId="6" fillId="0" borderId="1" xfId="0" applyNumberFormat="1" applyFont="1" applyFill="1" applyBorder="1" applyAlignment="1" applyProtection="1">
      <alignment horizontal="right"/>
    </xf>
    <xf numFmtId="164" fontId="57" fillId="0" borderId="0" xfId="0" applyNumberFormat="1" applyFont="1" applyFill="1" applyBorder="1" applyAlignment="1" applyProtection="1">
      <alignment horizontal="center"/>
      <protection hidden="1"/>
    </xf>
    <xf numFmtId="0" fontId="9" fillId="0" borderId="23" xfId="0" applyFont="1" applyBorder="1" applyProtection="1"/>
    <xf numFmtId="0" fontId="6" fillId="48" borderId="90" xfId="0" applyFont="1" applyFill="1" applyBorder="1" applyAlignment="1" applyProtection="1">
      <alignment vertical="center"/>
    </xf>
    <xf numFmtId="0" fontId="108" fillId="48" borderId="54" xfId="0" applyFont="1" applyFill="1" applyBorder="1" applyAlignment="1"/>
    <xf numFmtId="0" fontId="0" fillId="0" borderId="0" xfId="0" applyBorder="1" applyAlignment="1"/>
    <xf numFmtId="0" fontId="0" fillId="0" borderId="28" xfId="0" applyBorder="1" applyAlignment="1"/>
    <xf numFmtId="0" fontId="17" fillId="0" borderId="112" xfId="0" applyFont="1" applyBorder="1" applyProtection="1">
      <protection hidden="1"/>
    </xf>
    <xf numFmtId="0" fontId="62" fillId="0" borderId="14" xfId="0" applyFont="1" applyFill="1" applyBorder="1" applyAlignment="1" applyProtection="1">
      <alignment horizontal="center"/>
      <protection locked="0"/>
    </xf>
    <xf numFmtId="49" fontId="10" fillId="17" borderId="24" xfId="0" applyNumberFormat="1" applyFont="1" applyFill="1" applyBorder="1" applyProtection="1">
      <protection hidden="1"/>
    </xf>
    <xf numFmtId="0" fontId="17" fillId="5" borderId="41" xfId="0" applyFont="1" applyFill="1" applyBorder="1" applyProtection="1">
      <protection hidden="1"/>
    </xf>
    <xf numFmtId="164" fontId="17" fillId="0" borderId="124" xfId="1" applyNumberFormat="1" applyFont="1" applyBorder="1" applyProtection="1">
      <protection hidden="1"/>
    </xf>
    <xf numFmtId="164" fontId="17" fillId="0" borderId="2" xfId="1" applyNumberFormat="1" applyFont="1" applyBorder="1" applyProtection="1">
      <protection hidden="1"/>
    </xf>
    <xf numFmtId="0" fontId="28" fillId="0" borderId="23" xfId="0" applyFont="1" applyBorder="1" applyProtection="1"/>
    <xf numFmtId="164" fontId="28" fillId="0" borderId="0" xfId="0" applyNumberFormat="1" applyFont="1" applyBorder="1" applyProtection="1">
      <protection hidden="1"/>
    </xf>
    <xf numFmtId="0" fontId="9" fillId="0" borderId="28" xfId="0" applyFont="1" applyBorder="1" applyProtection="1"/>
    <xf numFmtId="0" fontId="80" fillId="0" borderId="23" xfId="0" applyFont="1" applyBorder="1" applyProtection="1"/>
    <xf numFmtId="9" fontId="89" fillId="0" borderId="0" xfId="0" applyNumberFormat="1" applyFont="1" applyBorder="1" applyAlignment="1" applyProtection="1">
      <alignment horizontal="center"/>
    </xf>
    <xf numFmtId="0" fontId="26" fillId="0" borderId="0" xfId="0" applyFont="1" applyBorder="1" applyProtection="1"/>
    <xf numFmtId="0" fontId="26" fillId="0" borderId="28" xfId="0" applyFont="1" applyBorder="1" applyProtection="1"/>
    <xf numFmtId="0" fontId="80" fillId="0" borderId="16" xfId="0" applyFont="1" applyBorder="1" applyProtection="1"/>
    <xf numFmtId="9" fontId="2" fillId="0" borderId="17" xfId="0" applyNumberFormat="1" applyFont="1" applyBorder="1" applyAlignment="1" applyProtection="1">
      <alignment horizontal="center"/>
    </xf>
    <xf numFmtId="0" fontId="26" fillId="0" borderId="17" xfId="0" applyFont="1" applyBorder="1" applyProtection="1"/>
    <xf numFmtId="0" fontId="26" fillId="0" borderId="32" xfId="0" applyFont="1" applyBorder="1" applyProtection="1"/>
    <xf numFmtId="14" fontId="17" fillId="0" borderId="2" xfId="0" applyNumberFormat="1" applyFont="1" applyFill="1" applyBorder="1" applyAlignment="1" applyProtection="1">
      <alignment horizontal="center"/>
      <protection locked="0"/>
    </xf>
    <xf numFmtId="164" fontId="17" fillId="0" borderId="2" xfId="0" applyNumberFormat="1" applyFont="1" applyFill="1" applyBorder="1" applyAlignment="1" applyProtection="1">
      <alignment shrinkToFit="1"/>
      <protection locked="0"/>
    </xf>
    <xf numFmtId="164" fontId="17" fillId="0" borderId="11" xfId="0" applyNumberFormat="1" applyFont="1" applyFill="1" applyBorder="1" applyAlignment="1" applyProtection="1">
      <alignment horizontal="center"/>
      <protection locked="0"/>
    </xf>
    <xf numFmtId="164" fontId="17" fillId="0" borderId="9" xfId="0" applyNumberFormat="1" applyFont="1" applyFill="1" applyBorder="1" applyProtection="1">
      <protection locked="0"/>
    </xf>
    <xf numFmtId="164" fontId="17" fillId="0" borderId="9" xfId="0" applyNumberFormat="1" applyFont="1" applyFill="1" applyBorder="1" applyProtection="1">
      <protection locked="0" hidden="1"/>
    </xf>
    <xf numFmtId="164" fontId="17" fillId="0" borderId="10" xfId="0" applyNumberFormat="1" applyFont="1" applyFill="1" applyBorder="1" applyProtection="1">
      <protection locked="0" hidden="1"/>
    </xf>
    <xf numFmtId="164" fontId="17" fillId="0" borderId="7" xfId="0" applyNumberFormat="1" applyFont="1" applyFill="1" applyBorder="1" applyProtection="1">
      <protection locked="0"/>
    </xf>
    <xf numFmtId="164" fontId="17" fillId="0" borderId="2" xfId="0" applyNumberFormat="1" applyFont="1" applyFill="1" applyBorder="1" applyProtection="1">
      <protection locked="0" hidden="1"/>
    </xf>
    <xf numFmtId="164" fontId="17" fillId="0" borderId="8" xfId="0" applyNumberFormat="1" applyFont="1" applyFill="1" applyBorder="1" applyProtection="1">
      <protection locked="0" hidden="1"/>
    </xf>
    <xf numFmtId="164" fontId="17" fillId="0" borderId="1" xfId="0" applyNumberFormat="1" applyFont="1" applyFill="1" applyBorder="1" applyProtection="1">
      <protection locked="0" hidden="1"/>
    </xf>
    <xf numFmtId="3" fontId="17" fillId="0" borderId="9" xfId="0" applyNumberFormat="1" applyFont="1" applyFill="1" applyBorder="1" applyAlignment="1" applyProtection="1">
      <alignment horizontal="center"/>
      <protection locked="0"/>
    </xf>
    <xf numFmtId="164" fontId="17" fillId="0" borderId="36" xfId="0" applyNumberFormat="1" applyFont="1" applyFill="1" applyBorder="1" applyAlignment="1" applyProtection="1">
      <alignment horizontal="center"/>
      <protection locked="0"/>
    </xf>
    <xf numFmtId="0" fontId="27" fillId="13" borderId="26" xfId="0" applyFont="1" applyFill="1" applyBorder="1" applyProtection="1">
      <protection hidden="1"/>
    </xf>
    <xf numFmtId="0" fontId="63" fillId="0" borderId="3" xfId="0" applyFont="1" applyFill="1" applyBorder="1" applyAlignment="1" applyProtection="1">
      <alignment vertical="center"/>
      <protection hidden="1"/>
    </xf>
    <xf numFmtId="164" fontId="37" fillId="0" borderId="1" xfId="0" applyNumberFormat="1" applyFont="1" applyFill="1" applyBorder="1" applyAlignment="1" applyProtection="1">
      <alignment vertical="center"/>
      <protection hidden="1"/>
    </xf>
    <xf numFmtId="164" fontId="37" fillId="0" borderId="1" xfId="0" applyNumberFormat="1" applyFont="1" applyFill="1" applyBorder="1" applyAlignment="1" applyProtection="1">
      <alignment vertical="center"/>
    </xf>
    <xf numFmtId="3" fontId="17" fillId="0" borderId="10" xfId="0" applyNumberFormat="1" applyFont="1" applyFill="1" applyBorder="1" applyAlignment="1" applyProtection="1">
      <alignment horizontal="center"/>
      <protection locked="0"/>
    </xf>
    <xf numFmtId="0" fontId="116" fillId="50" borderId="131" xfId="0" applyFont="1" applyFill="1" applyBorder="1" applyAlignment="1">
      <alignment vertical="center"/>
    </xf>
    <xf numFmtId="0" fontId="116" fillId="50" borderId="0" xfId="0" applyFont="1" applyFill="1" applyBorder="1" applyAlignment="1">
      <alignment vertical="center"/>
    </xf>
    <xf numFmtId="0" fontId="119" fillId="50" borderId="131" xfId="0" applyFont="1" applyFill="1" applyBorder="1" applyAlignment="1">
      <alignment vertical="center" wrapText="1"/>
    </xf>
    <xf numFmtId="0" fontId="119" fillId="50" borderId="0" xfId="0" applyFont="1" applyFill="1" applyBorder="1" applyAlignment="1">
      <alignment vertical="center" wrapText="1"/>
    </xf>
    <xf numFmtId="0" fontId="0" fillId="50" borderId="0" xfId="0" applyFont="1" applyFill="1" applyBorder="1" applyAlignment="1">
      <alignment wrapText="1"/>
    </xf>
    <xf numFmtId="0" fontId="0" fillId="50" borderId="0" xfId="0" applyFont="1" applyFill="1" applyBorder="1" applyAlignment="1">
      <alignment horizontal="center" vertical="center"/>
    </xf>
    <xf numFmtId="174" fontId="0" fillId="50" borderId="0" xfId="0" applyNumberFormat="1" applyFont="1" applyFill="1" applyBorder="1" applyAlignment="1">
      <alignment horizontal="center" vertical="center"/>
    </xf>
    <xf numFmtId="174" fontId="0" fillId="50" borderId="0" xfId="0" applyNumberFormat="1" applyFont="1" applyFill="1" applyBorder="1" applyAlignment="1">
      <alignment vertical="center"/>
    </xf>
    <xf numFmtId="174" fontId="120" fillId="50" borderId="0" xfId="0" applyNumberFormat="1" applyFont="1" applyFill="1" applyBorder="1" applyAlignment="1">
      <alignment horizontal="center" vertical="center" wrapText="1"/>
    </xf>
    <xf numFmtId="0" fontId="121" fillId="0" borderId="0" xfId="0" applyFont="1" applyBorder="1"/>
    <xf numFmtId="0" fontId="0" fillId="0" borderId="134"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50" borderId="0" xfId="0" applyFont="1" applyFill="1" applyBorder="1"/>
    <xf numFmtId="174" fontId="0" fillId="50" borderId="0" xfId="0" applyNumberFormat="1" applyFont="1" applyFill="1" applyBorder="1" applyAlignment="1">
      <alignment horizontal="center" vertical="center" wrapText="1"/>
    </xf>
    <xf numFmtId="0" fontId="0" fillId="0" borderId="0" xfId="0" applyFont="1" applyBorder="1"/>
    <xf numFmtId="0" fontId="0" fillId="0" borderId="0" xfId="0" applyFont="1" applyBorder="1" applyAlignment="1">
      <alignment vertical="center"/>
    </xf>
    <xf numFmtId="0" fontId="0" fillId="0" borderId="134" xfId="0" applyFont="1" applyBorder="1" applyAlignment="1">
      <alignment vertical="center"/>
    </xf>
    <xf numFmtId="0" fontId="0" fillId="50" borderId="136" xfId="0" applyFont="1" applyFill="1" applyBorder="1"/>
    <xf numFmtId="0" fontId="0" fillId="0" borderId="137" xfId="0" applyFont="1" applyBorder="1" applyAlignment="1">
      <alignment horizontal="left" vertical="center"/>
    </xf>
    <xf numFmtId="0" fontId="117" fillId="0" borderId="137" xfId="0" applyFont="1" applyBorder="1" applyAlignment="1">
      <alignment horizontal="center" vertical="center"/>
    </xf>
    <xf numFmtId="0" fontId="0" fillId="0" borderId="0" xfId="0" applyFont="1" applyBorder="1" applyAlignment="1">
      <alignment horizontal="center" vertical="center"/>
    </xf>
    <xf numFmtId="0" fontId="125" fillId="50" borderId="131" xfId="0" applyFont="1" applyFill="1" applyBorder="1" applyAlignment="1">
      <alignment vertical="center" wrapText="1"/>
    </xf>
    <xf numFmtId="0" fontId="125" fillId="50" borderId="0" xfId="0" applyFont="1" applyFill="1" applyBorder="1" applyAlignment="1">
      <alignment vertical="center" wrapText="1"/>
    </xf>
    <xf numFmtId="0" fontId="0" fillId="0" borderId="142" xfId="0" applyFont="1" applyBorder="1"/>
    <xf numFmtId="0" fontId="0" fillId="0" borderId="143" xfId="0" applyFont="1" applyBorder="1" applyAlignment="1">
      <alignment wrapText="1"/>
    </xf>
    <xf numFmtId="0" fontId="0" fillId="0" borderId="143" xfId="0" applyFont="1" applyBorder="1" applyAlignment="1">
      <alignment horizontal="center"/>
    </xf>
    <xf numFmtId="0" fontId="0" fillId="0" borderId="138" xfId="0" applyFont="1" applyBorder="1" applyAlignment="1">
      <alignment wrapText="1"/>
    </xf>
    <xf numFmtId="0" fontId="0" fillId="0" borderId="144" xfId="0" applyFont="1" applyBorder="1" applyAlignment="1">
      <alignment wrapText="1"/>
    </xf>
    <xf numFmtId="0" fontId="0" fillId="0" borderId="131" xfId="0" applyFont="1" applyBorder="1" applyAlignment="1">
      <alignment wrapText="1"/>
    </xf>
    <xf numFmtId="0" fontId="0" fillId="50" borderId="131" xfId="0" applyFont="1" applyFill="1" applyBorder="1" applyAlignment="1">
      <alignment vertical="center"/>
    </xf>
    <xf numFmtId="0" fontId="0" fillId="50" borderId="0" xfId="0" applyFont="1" applyFill="1" applyBorder="1" applyAlignment="1">
      <alignment vertical="center"/>
    </xf>
    <xf numFmtId="0" fontId="0" fillId="0" borderId="139" xfId="0" applyFont="1" applyBorder="1"/>
    <xf numFmtId="177" fontId="0" fillId="50" borderId="131" xfId="0" applyNumberFormat="1" applyFont="1" applyFill="1" applyBorder="1" applyAlignment="1" applyProtection="1">
      <alignment horizontal="center"/>
      <protection locked="0"/>
    </xf>
    <xf numFmtId="177" fontId="0" fillId="50" borderId="0" xfId="0" applyNumberFormat="1" applyFont="1" applyFill="1" applyBorder="1" applyAlignment="1" applyProtection="1">
      <alignment horizontal="center"/>
      <protection locked="0"/>
    </xf>
    <xf numFmtId="0" fontId="129" fillId="0" borderId="0" xfId="0" applyFont="1" applyAlignment="1" applyProtection="1">
      <alignment horizontal="center"/>
      <protection hidden="1"/>
    </xf>
    <xf numFmtId="0" fontId="129" fillId="0" borderId="66" xfId="0" applyFont="1" applyBorder="1" applyAlignment="1" applyProtection="1">
      <alignment horizontal="center"/>
      <protection hidden="1"/>
    </xf>
    <xf numFmtId="0" fontId="129" fillId="50" borderId="131" xfId="0" applyFont="1" applyFill="1" applyBorder="1" applyAlignment="1" applyProtection="1">
      <alignment horizontal="center"/>
      <protection hidden="1"/>
    </xf>
    <xf numFmtId="0" fontId="129" fillId="50" borderId="0" xfId="0" applyFont="1" applyFill="1" applyBorder="1" applyAlignment="1" applyProtection="1">
      <alignment horizontal="center"/>
      <protection hidden="1"/>
    </xf>
    <xf numFmtId="0" fontId="0" fillId="0" borderId="147" xfId="0" applyBorder="1" applyAlignment="1">
      <alignment horizontal="center"/>
    </xf>
    <xf numFmtId="0" fontId="0" fillId="50" borderId="131" xfId="0" applyFill="1" applyBorder="1" applyAlignment="1">
      <alignment horizontal="center"/>
    </xf>
    <xf numFmtId="0" fontId="0" fillId="50" borderId="0" xfId="0" applyFill="1" applyBorder="1" applyAlignment="1">
      <alignment horizontal="center"/>
    </xf>
    <xf numFmtId="178" fontId="122" fillId="0" borderId="139" xfId="0" applyNumberFormat="1" applyFont="1" applyBorder="1"/>
    <xf numFmtId="178" fontId="122" fillId="50" borderId="139" xfId="0" applyNumberFormat="1" applyFont="1" applyFill="1" applyBorder="1" applyProtection="1">
      <protection hidden="1"/>
    </xf>
    <xf numFmtId="178" fontId="122" fillId="50" borderId="131" xfId="0" applyNumberFormat="1" applyFont="1" applyFill="1" applyBorder="1" applyProtection="1">
      <protection hidden="1"/>
    </xf>
    <xf numFmtId="178" fontId="122" fillId="50" borderId="0" xfId="0" applyNumberFormat="1" applyFont="1" applyFill="1" applyBorder="1" applyProtection="1">
      <protection hidden="1"/>
    </xf>
    <xf numFmtId="0" fontId="0" fillId="0" borderId="139" xfId="0" applyFont="1" applyBorder="1" applyAlignment="1">
      <alignment wrapText="1"/>
    </xf>
    <xf numFmtId="0" fontId="122" fillId="0" borderId="147" xfId="0" applyFont="1" applyBorder="1" applyAlignment="1">
      <alignment horizontal="center"/>
    </xf>
    <xf numFmtId="0" fontId="122" fillId="50" borderId="131" xfId="0" applyFont="1" applyFill="1" applyBorder="1" applyAlignment="1">
      <alignment horizontal="center"/>
    </xf>
    <xf numFmtId="0" fontId="122" fillId="50" borderId="0" xfId="0" applyFont="1" applyFill="1" applyBorder="1" applyAlignment="1">
      <alignment horizontal="center"/>
    </xf>
    <xf numFmtId="178" fontId="0" fillId="51" borderId="139" xfId="0" applyNumberFormat="1" applyFont="1" applyFill="1" applyBorder="1" applyProtection="1">
      <protection locked="0"/>
    </xf>
    <xf numFmtId="178" fontId="122" fillId="50" borderId="139" xfId="0" applyNumberFormat="1" applyFont="1" applyFill="1" applyBorder="1"/>
    <xf numFmtId="178" fontId="122" fillId="50" borderId="147" xfId="0" applyNumberFormat="1" applyFont="1" applyFill="1" applyBorder="1" applyAlignment="1" applyProtection="1">
      <alignment vertical="center"/>
      <protection hidden="1"/>
    </xf>
    <xf numFmtId="178" fontId="117" fillId="50" borderId="147" xfId="0" applyNumberFormat="1" applyFont="1" applyFill="1" applyBorder="1" applyAlignment="1" applyProtection="1">
      <alignment vertical="center"/>
      <protection hidden="1"/>
    </xf>
    <xf numFmtId="0" fontId="122" fillId="0" borderId="147" xfId="0" applyFont="1" applyBorder="1" applyAlignment="1" applyProtection="1">
      <alignment horizontal="center"/>
      <protection hidden="1"/>
    </xf>
    <xf numFmtId="0" fontId="122" fillId="50" borderId="131" xfId="0" applyFont="1" applyFill="1" applyBorder="1" applyAlignment="1" applyProtection="1">
      <alignment horizontal="center"/>
      <protection hidden="1"/>
    </xf>
    <xf numFmtId="0" fontId="122" fillId="50" borderId="0" xfId="0" applyFont="1" applyFill="1" applyBorder="1" applyAlignment="1" applyProtection="1">
      <alignment horizontal="center"/>
      <protection hidden="1"/>
    </xf>
    <xf numFmtId="178" fontId="0" fillId="50" borderId="131" xfId="0" applyNumberFormat="1" applyFont="1" applyFill="1" applyBorder="1" applyAlignment="1" applyProtection="1">
      <alignment horizontal="center"/>
      <protection hidden="1"/>
    </xf>
    <xf numFmtId="178" fontId="0" fillId="50" borderId="0" xfId="0" applyNumberFormat="1" applyFont="1" applyFill="1" applyBorder="1" applyAlignment="1" applyProtection="1">
      <alignment horizontal="center"/>
      <protection hidden="1"/>
    </xf>
    <xf numFmtId="178" fontId="122" fillId="52" borderId="139" xfId="0" applyNumberFormat="1" applyFont="1" applyFill="1" applyBorder="1"/>
    <xf numFmtId="178" fontId="0" fillId="50" borderId="131" xfId="0" applyNumberFormat="1" applyFont="1" applyFill="1" applyBorder="1" applyProtection="1">
      <protection hidden="1"/>
    </xf>
    <xf numFmtId="178" fontId="0" fillId="50" borderId="0" xfId="0" applyNumberFormat="1" applyFont="1" applyFill="1" applyBorder="1" applyProtection="1">
      <protection hidden="1"/>
    </xf>
    <xf numFmtId="0" fontId="0" fillId="50" borderId="131" xfId="0" applyFont="1" applyFill="1" applyBorder="1" applyAlignment="1" applyProtection="1">
      <alignment horizontal="center"/>
      <protection locked="0"/>
    </xf>
    <xf numFmtId="0" fontId="0" fillId="50" borderId="0" xfId="0" applyFont="1" applyFill="1" applyBorder="1" applyAlignment="1" applyProtection="1">
      <alignment horizontal="center"/>
      <protection locked="0"/>
    </xf>
    <xf numFmtId="179" fontId="0" fillId="50" borderId="131" xfId="0" applyNumberFormat="1" applyFont="1" applyFill="1" applyBorder="1" applyProtection="1">
      <protection locked="0"/>
    </xf>
    <xf numFmtId="179" fontId="0" fillId="50" borderId="0" xfId="0" applyNumberFormat="1" applyFont="1" applyFill="1" applyBorder="1" applyProtection="1">
      <protection locked="0"/>
    </xf>
    <xf numFmtId="178" fontId="0" fillId="50" borderId="131" xfId="0" applyNumberFormat="1" applyFont="1" applyFill="1" applyBorder="1" applyProtection="1">
      <protection locked="0"/>
    </xf>
    <xf numFmtId="178" fontId="0" fillId="50" borderId="0" xfId="0" applyNumberFormat="1" applyFont="1" applyFill="1" applyBorder="1" applyProtection="1">
      <protection locked="0"/>
    </xf>
    <xf numFmtId="178" fontId="122" fillId="0" borderId="139" xfId="0" applyNumberFormat="1" applyFont="1" applyBorder="1" applyProtection="1">
      <protection hidden="1"/>
    </xf>
    <xf numFmtId="0" fontId="130" fillId="0" borderId="138" xfId="0" applyFont="1" applyBorder="1" applyAlignment="1">
      <alignment wrapText="1"/>
    </xf>
    <xf numFmtId="0" fontId="130" fillId="50" borderId="131" xfId="0" applyFont="1" applyFill="1" applyBorder="1" applyAlignment="1">
      <alignment wrapText="1"/>
    </xf>
    <xf numFmtId="0" fontId="130" fillId="50" borderId="0" xfId="0" applyFont="1" applyFill="1" applyBorder="1" applyAlignment="1">
      <alignment wrapText="1"/>
    </xf>
    <xf numFmtId="0" fontId="131" fillId="0" borderId="147" xfId="0" applyFont="1" applyBorder="1" applyAlignment="1">
      <alignment vertical="center" wrapText="1"/>
    </xf>
    <xf numFmtId="0" fontId="131" fillId="0" borderId="132" xfId="0" applyFont="1" applyBorder="1" applyAlignment="1">
      <alignment vertical="center" wrapText="1"/>
    </xf>
    <xf numFmtId="0" fontId="131" fillId="0" borderId="146" xfId="0" applyFont="1" applyBorder="1" applyAlignment="1">
      <alignment vertical="center" wrapText="1"/>
    </xf>
    <xf numFmtId="0" fontId="131" fillId="50" borderId="131" xfId="0" applyFont="1" applyFill="1" applyBorder="1" applyAlignment="1">
      <alignment vertical="center" wrapText="1"/>
    </xf>
    <xf numFmtId="0" fontId="131" fillId="50" borderId="0" xfId="0" applyFont="1" applyFill="1" applyBorder="1" applyAlignment="1">
      <alignment vertical="center" wrapText="1"/>
    </xf>
    <xf numFmtId="174" fontId="0" fillId="50" borderId="131" xfId="0" applyNumberFormat="1" applyFont="1" applyFill="1" applyBorder="1"/>
    <xf numFmtId="174" fontId="0" fillId="50" borderId="0" xfId="0" applyNumberFormat="1" applyFont="1" applyFill="1" applyBorder="1"/>
    <xf numFmtId="174" fontId="0" fillId="50" borderId="131" xfId="0" applyNumberFormat="1" applyFont="1" applyFill="1" applyBorder="1" applyProtection="1">
      <protection hidden="1"/>
    </xf>
    <xf numFmtId="174" fontId="0" fillId="50" borderId="0" xfId="0" applyNumberFormat="1" applyFont="1" applyFill="1" applyBorder="1" applyProtection="1">
      <protection hidden="1"/>
    </xf>
    <xf numFmtId="178" fontId="0" fillId="50" borderId="131" xfId="0" applyNumberFormat="1" applyFont="1" applyFill="1" applyBorder="1"/>
    <xf numFmtId="178" fontId="0" fillId="50" borderId="0" xfId="0" applyNumberFormat="1" applyFont="1" applyFill="1" applyBorder="1"/>
    <xf numFmtId="178" fontId="0" fillId="0" borderId="139" xfId="0" applyNumberFormat="1" applyFont="1" applyBorder="1"/>
    <xf numFmtId="0" fontId="0" fillId="0" borderId="132" xfId="0" applyFont="1" applyBorder="1" applyAlignment="1">
      <alignment wrapText="1"/>
    </xf>
    <xf numFmtId="0" fontId="0" fillId="0" borderId="146" xfId="0" applyFont="1" applyBorder="1" applyAlignment="1">
      <alignment wrapText="1"/>
    </xf>
    <xf numFmtId="0" fontId="0" fillId="50" borderId="131" xfId="0" applyFont="1" applyFill="1" applyBorder="1" applyAlignment="1">
      <alignment wrapText="1"/>
    </xf>
    <xf numFmtId="0" fontId="0" fillId="0" borderId="147" xfId="0" applyFont="1" applyBorder="1" applyAlignment="1">
      <alignment horizontal="center" vertical="center"/>
    </xf>
    <xf numFmtId="0" fontId="0" fillId="50" borderId="131" xfId="0" applyFont="1" applyFill="1" applyBorder="1" applyAlignment="1">
      <alignment horizontal="center" vertical="center"/>
    </xf>
    <xf numFmtId="178" fontId="124" fillId="0" borderId="139" xfId="0" applyNumberFormat="1" applyFont="1" applyBorder="1"/>
    <xf numFmtId="178" fontId="0" fillId="53" borderId="139" xfId="0" applyNumberFormat="1" applyFont="1" applyFill="1" applyBorder="1" applyProtection="1">
      <protection locked="0"/>
    </xf>
    <xf numFmtId="179" fontId="134" fillId="50" borderId="131" xfId="0" applyNumberFormat="1" applyFont="1" applyFill="1" applyBorder="1" applyAlignment="1" applyProtection="1">
      <alignment horizontal="center"/>
    </xf>
    <xf numFmtId="179" fontId="134" fillId="50" borderId="0" xfId="0" applyNumberFormat="1" applyFont="1" applyFill="1" applyBorder="1" applyAlignment="1" applyProtection="1">
      <alignment horizontal="center"/>
    </xf>
    <xf numFmtId="178" fontId="124" fillId="50" borderId="131" xfId="0" applyNumberFormat="1" applyFont="1" applyFill="1" applyBorder="1"/>
    <xf numFmtId="178" fontId="124" fillId="50" borderId="0" xfId="0" applyNumberFormat="1" applyFont="1" applyFill="1" applyBorder="1"/>
    <xf numFmtId="178" fontId="124" fillId="53" borderId="139" xfId="0" applyNumberFormat="1" applyFont="1" applyFill="1" applyBorder="1" applyProtection="1">
      <protection locked="0"/>
    </xf>
    <xf numFmtId="178" fontId="124" fillId="50" borderId="131" xfId="0" applyNumberFormat="1" applyFont="1" applyFill="1" applyBorder="1" applyProtection="1">
      <protection locked="0"/>
    </xf>
    <xf numFmtId="178" fontId="124" fillId="50" borderId="0" xfId="0" applyNumberFormat="1" applyFont="1" applyFill="1" applyBorder="1" applyProtection="1">
      <protection locked="0"/>
    </xf>
    <xf numFmtId="0" fontId="0" fillId="0" borderId="146" xfId="0" applyFont="1" applyBorder="1"/>
    <xf numFmtId="180" fontId="124" fillId="50" borderId="131" xfId="0" applyNumberFormat="1" applyFont="1" applyFill="1" applyBorder="1" applyAlignment="1" applyProtection="1">
      <alignment horizontal="center"/>
      <protection locked="0"/>
    </xf>
    <xf numFmtId="180" fontId="124" fillId="50" borderId="0" xfId="0" applyNumberFormat="1" applyFont="1" applyFill="1" applyBorder="1" applyAlignment="1" applyProtection="1">
      <alignment horizontal="center"/>
      <protection locked="0"/>
    </xf>
    <xf numFmtId="181" fontId="124" fillId="50" borderId="131" xfId="0" applyNumberFormat="1" applyFont="1" applyFill="1" applyBorder="1" applyProtection="1">
      <protection locked="0"/>
    </xf>
    <xf numFmtId="181" fontId="124" fillId="50" borderId="0" xfId="0" applyNumberFormat="1" applyFont="1" applyFill="1" applyBorder="1" applyProtection="1">
      <protection locked="0"/>
    </xf>
    <xf numFmtId="178" fontId="124" fillId="0" borderId="139" xfId="0" applyNumberFormat="1" applyFont="1" applyBorder="1" applyAlignment="1">
      <alignment vertical="center"/>
    </xf>
    <xf numFmtId="178" fontId="124" fillId="50" borderId="131" xfId="0" applyNumberFormat="1" applyFont="1" applyFill="1" applyBorder="1" applyAlignment="1" applyProtection="1">
      <alignment vertical="center"/>
      <protection locked="0"/>
    </xf>
    <xf numFmtId="178" fontId="124" fillId="50" borderId="0" xfId="0" applyNumberFormat="1" applyFont="1" applyFill="1" applyBorder="1" applyAlignment="1" applyProtection="1">
      <alignment vertical="center"/>
      <protection locked="0"/>
    </xf>
    <xf numFmtId="178" fontId="80" fillId="54" borderId="59" xfId="0" applyNumberFormat="1" applyFont="1" applyFill="1" applyBorder="1" applyProtection="1">
      <protection locked="0"/>
    </xf>
    <xf numFmtId="178" fontId="80" fillId="54" borderId="148" xfId="0" applyNumberFormat="1" applyFont="1" applyFill="1" applyBorder="1" applyProtection="1">
      <protection locked="0"/>
    </xf>
    <xf numFmtId="0" fontId="0" fillId="0" borderId="139" xfId="0" applyFont="1" applyBorder="1" applyProtection="1"/>
    <xf numFmtId="178" fontId="124" fillId="0" borderId="139" xfId="0" applyNumberFormat="1" applyFont="1" applyBorder="1" applyProtection="1"/>
    <xf numFmtId="178" fontId="0" fillId="0" borderId="139" xfId="0" applyNumberFormat="1" applyFont="1" applyBorder="1" applyProtection="1"/>
    <xf numFmtId="178" fontId="0" fillId="50" borderId="131" xfId="0" applyNumberFormat="1" applyFont="1" applyFill="1" applyBorder="1" applyProtection="1"/>
    <xf numFmtId="178" fontId="0" fillId="50" borderId="0" xfId="0" applyNumberFormat="1" applyFont="1" applyFill="1" applyBorder="1" applyProtection="1"/>
    <xf numFmtId="0" fontId="0" fillId="0" borderId="139" xfId="0" applyBorder="1"/>
    <xf numFmtId="0" fontId="0" fillId="0" borderId="139" xfId="0" applyBorder="1" applyAlignment="1">
      <alignment wrapText="1"/>
    </xf>
    <xf numFmtId="178" fontId="0" fillId="51" borderId="139" xfId="0" applyNumberFormat="1" applyFont="1" applyFill="1" applyBorder="1" applyAlignment="1" applyProtection="1">
      <alignment vertical="center"/>
      <protection locked="0"/>
    </xf>
    <xf numFmtId="178" fontId="0" fillId="53" borderId="147" xfId="0" applyNumberFormat="1" applyFont="1" applyFill="1" applyBorder="1" applyAlignment="1" applyProtection="1">
      <protection locked="0"/>
    </xf>
    <xf numFmtId="178" fontId="0" fillId="53" borderId="139" xfId="0" applyNumberFormat="1" applyFont="1" applyFill="1" applyBorder="1" applyAlignment="1" applyProtection="1">
      <protection locked="0"/>
    </xf>
    <xf numFmtId="178" fontId="0" fillId="53" borderId="139" xfId="0" applyNumberFormat="1" applyFont="1" applyFill="1" applyBorder="1" applyAlignment="1" applyProtection="1">
      <alignment horizontal="center"/>
      <protection locked="0"/>
    </xf>
    <xf numFmtId="178" fontId="0" fillId="50" borderId="139" xfId="0" applyNumberFormat="1" applyFont="1" applyFill="1" applyBorder="1" applyAlignment="1">
      <alignment horizontal="right"/>
    </xf>
    <xf numFmtId="178" fontId="0" fillId="0" borderId="139" xfId="0" applyNumberFormat="1" applyFont="1" applyBorder="1" applyAlignment="1">
      <alignment horizontal="right"/>
    </xf>
    <xf numFmtId="0" fontId="0" fillId="52" borderId="139" xfId="0" applyFont="1" applyFill="1" applyBorder="1" applyAlignment="1">
      <alignment horizontal="left" vertical="center" wrapText="1"/>
    </xf>
    <xf numFmtId="178" fontId="0" fillId="52" borderId="139" xfId="0" applyNumberFormat="1" applyFont="1" applyFill="1" applyBorder="1" applyAlignment="1">
      <alignment horizontal="center"/>
    </xf>
    <xf numFmtId="178" fontId="0" fillId="50" borderId="131" xfId="0" applyNumberFormat="1" applyFont="1" applyFill="1" applyBorder="1" applyAlignment="1">
      <alignment horizontal="center"/>
    </xf>
    <xf numFmtId="178" fontId="0" fillId="50" borderId="0" xfId="0" applyNumberFormat="1" applyFont="1" applyFill="1" applyBorder="1" applyAlignment="1">
      <alignment horizontal="center"/>
    </xf>
    <xf numFmtId="182" fontId="0" fillId="52" borderId="139" xfId="0" applyNumberFormat="1" applyFont="1" applyFill="1" applyBorder="1" applyAlignment="1">
      <alignment horizontal="center" vertical="center" wrapText="1"/>
    </xf>
    <xf numFmtId="182" fontId="0" fillId="50" borderId="131" xfId="0" applyNumberFormat="1" applyFont="1" applyFill="1" applyBorder="1" applyAlignment="1">
      <alignment horizontal="center" vertical="center" wrapText="1"/>
    </xf>
    <xf numFmtId="182" fontId="0" fillId="50" borderId="0" xfId="0" applyNumberFormat="1" applyFont="1" applyFill="1" applyBorder="1" applyAlignment="1">
      <alignment horizontal="center" vertical="center" wrapText="1"/>
    </xf>
    <xf numFmtId="183" fontId="0" fillId="52" borderId="139" xfId="0" applyNumberFormat="1" applyFont="1" applyFill="1" applyBorder="1" applyAlignment="1">
      <alignment horizontal="left" vertical="center" wrapText="1"/>
    </xf>
    <xf numFmtId="178" fontId="0" fillId="52" borderId="139" xfId="0" applyNumberFormat="1" applyFont="1" applyFill="1" applyBorder="1" applyAlignment="1">
      <alignment horizontal="center" vertical="center"/>
    </xf>
    <xf numFmtId="178" fontId="0" fillId="50" borderId="131" xfId="0" applyNumberFormat="1" applyFont="1" applyFill="1" applyBorder="1" applyAlignment="1">
      <alignment horizontal="center" vertical="center"/>
    </xf>
    <xf numFmtId="178" fontId="0" fillId="50" borderId="0" xfId="0" applyNumberFormat="1" applyFont="1" applyFill="1" applyBorder="1" applyAlignment="1">
      <alignment horizontal="center" vertical="center"/>
    </xf>
    <xf numFmtId="0" fontId="0" fillId="52" borderId="139" xfId="4" applyNumberFormat="1" applyFont="1" applyFill="1" applyBorder="1" applyAlignment="1" applyProtection="1">
      <alignment horizontal="center" vertical="center" wrapText="1"/>
    </xf>
    <xf numFmtId="178" fontId="0" fillId="52" borderId="139" xfId="0" applyNumberFormat="1" applyFont="1" applyFill="1" applyBorder="1" applyAlignment="1">
      <alignment horizontal="left" vertical="center"/>
    </xf>
    <xf numFmtId="184" fontId="0" fillId="52" borderId="139" xfId="0" applyNumberFormat="1" applyFont="1" applyFill="1" applyBorder="1" applyAlignment="1">
      <alignment horizontal="center" vertical="center"/>
    </xf>
    <xf numFmtId="184" fontId="0" fillId="50" borderId="131" xfId="0" applyNumberFormat="1" applyFont="1" applyFill="1" applyBorder="1" applyAlignment="1">
      <alignment horizontal="center" vertical="center"/>
    </xf>
    <xf numFmtId="184" fontId="0" fillId="50" borderId="0" xfId="0" applyNumberFormat="1" applyFont="1" applyFill="1" applyBorder="1" applyAlignment="1">
      <alignment horizontal="center" vertical="center"/>
    </xf>
    <xf numFmtId="178" fontId="0" fillId="0" borderId="139" xfId="0" applyNumberFormat="1" applyFont="1" applyBorder="1" applyAlignment="1">
      <alignment wrapText="1"/>
    </xf>
    <xf numFmtId="178" fontId="138" fillId="50" borderId="139" xfId="0" applyNumberFormat="1" applyFont="1" applyFill="1" applyBorder="1"/>
    <xf numFmtId="178" fontId="138" fillId="50" borderId="131" xfId="0" applyNumberFormat="1" applyFont="1" applyFill="1" applyBorder="1"/>
    <xf numFmtId="178" fontId="138" fillId="50" borderId="0" xfId="0" applyNumberFormat="1" applyFont="1" applyFill="1" applyBorder="1"/>
    <xf numFmtId="178" fontId="122" fillId="50" borderId="131" xfId="0" applyNumberFormat="1" applyFont="1" applyFill="1" applyBorder="1"/>
    <xf numFmtId="178" fontId="122" fillId="50" borderId="0" xfId="0" applyNumberFormat="1" applyFont="1" applyFill="1" applyBorder="1"/>
    <xf numFmtId="178" fontId="122" fillId="52" borderId="146" xfId="0" applyNumberFormat="1" applyFont="1" applyFill="1" applyBorder="1"/>
    <xf numFmtId="178" fontId="122" fillId="52" borderId="133" xfId="0" applyNumberFormat="1" applyFont="1" applyFill="1" applyBorder="1"/>
    <xf numFmtId="178" fontId="122" fillId="52" borderId="144" xfId="0" applyNumberFormat="1" applyFont="1" applyFill="1" applyBorder="1"/>
    <xf numFmtId="178" fontId="122" fillId="52" borderId="142" xfId="0" applyNumberFormat="1" applyFont="1" applyFill="1" applyBorder="1"/>
    <xf numFmtId="178" fontId="122" fillId="0" borderId="132" xfId="0" applyNumberFormat="1" applyFont="1" applyBorder="1"/>
    <xf numFmtId="178" fontId="122" fillId="0" borderId="146" xfId="0" applyNumberFormat="1" applyFont="1" applyBorder="1"/>
    <xf numFmtId="178" fontId="122" fillId="0" borderId="139" xfId="0" applyNumberFormat="1" applyFont="1" applyBorder="1" applyAlignment="1">
      <alignment vertical="center"/>
    </xf>
    <xf numFmtId="178" fontId="122" fillId="0" borderId="139" xfId="0" applyNumberFormat="1" applyFont="1" applyBorder="1" applyAlignment="1" applyProtection="1">
      <alignment vertical="center"/>
      <protection hidden="1"/>
    </xf>
    <xf numFmtId="178" fontId="122" fillId="0" borderId="132" xfId="0" applyNumberFormat="1" applyFont="1" applyBorder="1" applyProtection="1"/>
    <xf numFmtId="178" fontId="122" fillId="0" borderId="146" xfId="0" applyNumberFormat="1" applyFont="1" applyBorder="1" applyProtection="1"/>
    <xf numFmtId="178" fontId="122" fillId="50" borderId="131" xfId="0" applyNumberFormat="1" applyFont="1" applyFill="1" applyBorder="1" applyProtection="1"/>
    <xf numFmtId="178" fontId="122" fillId="50" borderId="0" xfId="0" applyNumberFormat="1" applyFont="1" applyFill="1" applyBorder="1" applyProtection="1"/>
    <xf numFmtId="0" fontId="139" fillId="50" borderId="139" xfId="0" applyFont="1" applyFill="1" applyBorder="1" applyAlignment="1">
      <alignment horizontal="left" vertical="center" wrapText="1"/>
    </xf>
    <xf numFmtId="178" fontId="122" fillId="0" borderId="139" xfId="0" applyNumberFormat="1" applyFont="1" applyBorder="1" applyAlignment="1">
      <alignment vertical="center" wrapText="1"/>
    </xf>
    <xf numFmtId="178" fontId="140" fillId="0" borderId="139" xfId="0" applyNumberFormat="1" applyFont="1" applyBorder="1" applyAlignment="1">
      <alignment horizontal="center" vertical="center"/>
    </xf>
    <xf numFmtId="176" fontId="21" fillId="0" borderId="139" xfId="3" applyNumberFormat="1" applyFont="1" applyBorder="1" applyAlignment="1">
      <alignment vertical="center"/>
    </xf>
    <xf numFmtId="178" fontId="141" fillId="0" borderId="139" xfId="0" applyNumberFormat="1" applyFont="1" applyBorder="1"/>
    <xf numFmtId="0" fontId="0" fillId="0" borderId="0" xfId="0" applyFont="1" applyAlignment="1">
      <alignment vertical="center" wrapText="1"/>
    </xf>
    <xf numFmtId="176" fontId="126" fillId="0" borderId="0" xfId="3" applyNumberFormat="1" applyFont="1" applyAlignment="1">
      <alignment vertical="center"/>
    </xf>
    <xf numFmtId="0" fontId="117" fillId="0" borderId="0" xfId="0" applyFont="1"/>
    <xf numFmtId="0" fontId="0" fillId="0" borderId="0" xfId="0" applyFont="1"/>
    <xf numFmtId="0" fontId="117" fillId="0" borderId="0" xfId="0" applyFont="1" applyBorder="1" applyAlignment="1">
      <alignment horizontal="left" vertical="center" wrapText="1"/>
    </xf>
    <xf numFmtId="0" fontId="142" fillId="0" borderId="0" xfId="0" applyFont="1"/>
    <xf numFmtId="0" fontId="0" fillId="0" borderId="0" xfId="0" applyAlignment="1"/>
    <xf numFmtId="0" fontId="0" fillId="51" borderId="2" xfId="0" applyFont="1" applyFill="1" applyBorder="1" applyAlignment="1" applyProtection="1">
      <alignment horizontal="center" vertical="center"/>
      <protection locked="0"/>
    </xf>
    <xf numFmtId="0" fontId="122" fillId="0" borderId="2" xfId="0" applyFont="1" applyBorder="1"/>
    <xf numFmtId="0" fontId="0" fillId="0" borderId="2" xfId="0" applyFont="1" applyBorder="1"/>
    <xf numFmtId="177" fontId="0" fillId="51" borderId="2" xfId="0" applyNumberFormat="1" applyFont="1" applyFill="1" applyBorder="1" applyAlignment="1" applyProtection="1">
      <alignment horizontal="center"/>
      <protection locked="0"/>
    </xf>
    <xf numFmtId="0" fontId="122" fillId="0" borderId="2" xfId="0" applyFont="1" applyBorder="1" applyAlignment="1">
      <alignment horizontal="right"/>
    </xf>
    <xf numFmtId="0" fontId="0" fillId="0" borderId="2" xfId="0" applyBorder="1" applyAlignment="1">
      <alignment horizontal="center"/>
    </xf>
    <xf numFmtId="178" fontId="122" fillId="0" borderId="2" xfId="0" applyNumberFormat="1" applyFont="1" applyBorder="1"/>
    <xf numFmtId="178" fontId="122" fillId="50" borderId="2" xfId="0" applyNumberFormat="1" applyFont="1" applyFill="1" applyBorder="1" applyProtection="1">
      <protection hidden="1"/>
    </xf>
    <xf numFmtId="0" fontId="0" fillId="0" borderId="2" xfId="0" applyFont="1" applyBorder="1" applyAlignment="1">
      <alignment wrapText="1"/>
    </xf>
    <xf numFmtId="178" fontId="0" fillId="0" borderId="2" xfId="0" applyNumberFormat="1" applyFont="1" applyBorder="1" applyAlignment="1">
      <alignment vertical="center"/>
    </xf>
    <xf numFmtId="0" fontId="122" fillId="0" borderId="2" xfId="0" applyFont="1" applyBorder="1" applyAlignment="1">
      <alignment horizontal="center"/>
    </xf>
    <xf numFmtId="0" fontId="122" fillId="0" borderId="2" xfId="0" applyFont="1" applyBorder="1" applyAlignment="1">
      <alignment wrapText="1"/>
    </xf>
    <xf numFmtId="178" fontId="0" fillId="51" borderId="2" xfId="0" applyNumberFormat="1" applyFont="1" applyFill="1" applyBorder="1" applyProtection="1">
      <protection locked="0"/>
    </xf>
    <xf numFmtId="178" fontId="0" fillId="51" borderId="2" xfId="0" applyNumberFormat="1" applyFont="1" applyFill="1" applyBorder="1" applyAlignment="1" applyProtection="1">
      <alignment horizontal="center"/>
      <protection locked="0"/>
    </xf>
    <xf numFmtId="178" fontId="122" fillId="50" borderId="2" xfId="0" applyNumberFormat="1" applyFont="1" applyFill="1" applyBorder="1"/>
    <xf numFmtId="0" fontId="122" fillId="0" borderId="2" xfId="0" applyFont="1" applyBorder="1" applyAlignment="1" applyProtection="1">
      <alignment horizontal="center"/>
      <protection hidden="1"/>
    </xf>
    <xf numFmtId="0" fontId="0" fillId="52" borderId="2" xfId="0" applyFont="1" applyFill="1" applyBorder="1"/>
    <xf numFmtId="178" fontId="0" fillId="52" borderId="2" xfId="0" applyNumberFormat="1" applyFont="1" applyFill="1" applyBorder="1"/>
    <xf numFmtId="178" fontId="0" fillId="52" borderId="2" xfId="0" applyNumberFormat="1" applyFont="1" applyFill="1" applyBorder="1" applyAlignment="1" applyProtection="1">
      <alignment horizontal="center"/>
      <protection hidden="1"/>
    </xf>
    <xf numFmtId="178" fontId="122" fillId="52" borderId="2" xfId="0" applyNumberFormat="1" applyFont="1" applyFill="1" applyBorder="1"/>
    <xf numFmtId="178" fontId="0" fillId="52" borderId="2" xfId="0" applyNumberFormat="1" applyFont="1" applyFill="1" applyBorder="1" applyProtection="1">
      <protection hidden="1"/>
    </xf>
    <xf numFmtId="178" fontId="0" fillId="50" borderId="2" xfId="0" applyNumberFormat="1" applyFont="1" applyFill="1" applyBorder="1" applyProtection="1">
      <protection hidden="1"/>
    </xf>
    <xf numFmtId="0" fontId="0" fillId="51" borderId="2" xfId="0" applyFont="1" applyFill="1" applyBorder="1" applyAlignment="1" applyProtection="1">
      <alignment horizontal="center"/>
      <protection locked="0"/>
    </xf>
    <xf numFmtId="179" fontId="0" fillId="51" borderId="2" xfId="0" applyNumberFormat="1" applyFont="1" applyFill="1" applyBorder="1" applyProtection="1">
      <protection locked="0"/>
    </xf>
    <xf numFmtId="178" fontId="0" fillId="0" borderId="2" xfId="0" applyNumberFormat="1" applyFont="1" applyBorder="1" applyProtection="1">
      <protection hidden="1"/>
    </xf>
    <xf numFmtId="178" fontId="122" fillId="0" borderId="2" xfId="0" applyNumberFormat="1" applyFont="1" applyBorder="1" applyProtection="1">
      <protection hidden="1"/>
    </xf>
    <xf numFmtId="174" fontId="0" fillId="52" borderId="2" xfId="0" applyNumberFormat="1" applyFont="1" applyFill="1" applyBorder="1"/>
    <xf numFmtId="174" fontId="0" fillId="52" borderId="2" xfId="0" applyNumberFormat="1" applyFont="1" applyFill="1" applyBorder="1" applyProtection="1">
      <protection hidden="1"/>
    </xf>
    <xf numFmtId="178" fontId="0" fillId="0" borderId="2" xfId="0" applyNumberFormat="1" applyFont="1" applyBorder="1"/>
    <xf numFmtId="0" fontId="0" fillId="0" borderId="2" xfId="0" applyFont="1" applyBorder="1" applyAlignment="1">
      <alignment horizontal="center" vertical="center"/>
    </xf>
    <xf numFmtId="0" fontId="132" fillId="0" borderId="2" xfId="0" applyFont="1" applyBorder="1"/>
    <xf numFmtId="178" fontId="124" fillId="0" borderId="2" xfId="0" applyNumberFormat="1" applyFont="1" applyBorder="1"/>
    <xf numFmtId="178" fontId="0" fillId="53" borderId="2" xfId="0" applyNumberFormat="1" applyFont="1" applyFill="1" applyBorder="1" applyProtection="1">
      <protection locked="0"/>
    </xf>
    <xf numFmtId="0" fontId="133" fillId="0" borderId="2" xfId="0" applyFont="1" applyBorder="1" applyProtection="1"/>
    <xf numFmtId="0" fontId="122" fillId="0" borderId="2" xfId="0" applyFont="1" applyBorder="1" applyProtection="1"/>
    <xf numFmtId="179" fontId="134" fillId="0" borderId="2" xfId="0" applyNumberFormat="1" applyFont="1" applyBorder="1" applyAlignment="1" applyProtection="1">
      <alignment horizontal="center"/>
    </xf>
    <xf numFmtId="176" fontId="121" fillId="0" borderId="2" xfId="3" applyNumberFormat="1" applyFont="1" applyBorder="1" applyAlignment="1" applyProtection="1">
      <alignment horizontal="center"/>
    </xf>
    <xf numFmtId="178" fontId="124" fillId="53" borderId="2" xfId="0" applyNumberFormat="1" applyFont="1" applyFill="1" applyBorder="1" applyProtection="1">
      <protection locked="0"/>
    </xf>
    <xf numFmtId="178" fontId="124" fillId="53" borderId="2" xfId="0" applyNumberFormat="1" applyFont="1" applyFill="1" applyBorder="1" applyAlignment="1" applyProtection="1">
      <alignment horizontal="center"/>
      <protection locked="0"/>
    </xf>
    <xf numFmtId="0" fontId="136" fillId="50" borderId="5" xfId="5" applyFont="1" applyFill="1" applyBorder="1"/>
    <xf numFmtId="180" fontId="124" fillId="51" borderId="2" xfId="0" applyNumberFormat="1" applyFont="1" applyFill="1" applyBorder="1" applyAlignment="1" applyProtection="1">
      <alignment horizontal="center"/>
      <protection locked="0"/>
    </xf>
    <xf numFmtId="178" fontId="124" fillId="51" borderId="2" xfId="0" applyNumberFormat="1" applyFont="1" applyFill="1" applyBorder="1" applyProtection="1">
      <protection locked="0"/>
    </xf>
    <xf numFmtId="0" fontId="137" fillId="50" borderId="3" xfId="0" applyFont="1" applyFill="1" applyBorder="1"/>
    <xf numFmtId="181" fontId="124" fillId="51" borderId="2" xfId="0" applyNumberFormat="1" applyFont="1" applyFill="1" applyBorder="1" applyProtection="1">
      <protection locked="0"/>
    </xf>
    <xf numFmtId="0" fontId="0" fillId="0" borderId="2" xfId="0" applyFont="1" applyBorder="1" applyAlignment="1">
      <alignment vertical="center"/>
    </xf>
    <xf numFmtId="178" fontId="124" fillId="0" borderId="2" xfId="0" applyNumberFormat="1" applyFont="1" applyBorder="1" applyAlignment="1">
      <alignment vertical="center"/>
    </xf>
    <xf numFmtId="178" fontId="124" fillId="53" borderId="2" xfId="0" applyNumberFormat="1" applyFont="1" applyFill="1" applyBorder="1" applyAlignment="1" applyProtection="1">
      <alignment vertical="center"/>
      <protection locked="0"/>
    </xf>
    <xf numFmtId="0" fontId="7" fillId="55" borderId="0" xfId="0" applyFont="1" applyFill="1" applyProtection="1">
      <protection hidden="1"/>
    </xf>
    <xf numFmtId="0" fontId="9" fillId="55" borderId="0" xfId="0" applyFont="1" applyFill="1" applyProtection="1">
      <protection hidden="1"/>
    </xf>
    <xf numFmtId="0" fontId="53" fillId="0" borderId="0" xfId="2" applyAlignment="1">
      <alignment wrapText="1"/>
    </xf>
    <xf numFmtId="14" fontId="150" fillId="0" borderId="0" xfId="2" applyNumberFormat="1" applyFont="1"/>
    <xf numFmtId="0" fontId="0" fillId="0" borderId="149" xfId="0" applyFont="1" applyBorder="1"/>
    <xf numFmtId="178" fontId="122" fillId="50" borderId="149" xfId="0" applyNumberFormat="1" applyFont="1" applyFill="1" applyBorder="1"/>
    <xf numFmtId="178" fontId="0" fillId="0" borderId="149" xfId="0" applyNumberFormat="1" applyFont="1" applyBorder="1" applyProtection="1">
      <protection hidden="1"/>
    </xf>
    <xf numFmtId="14" fontId="0" fillId="0" borderId="0" xfId="0" applyNumberFormat="1"/>
    <xf numFmtId="0" fontId="151" fillId="0" borderId="7" xfId="0" applyFont="1" applyFill="1" applyBorder="1" applyAlignment="1" applyProtection="1">
      <alignment horizontal="center"/>
      <protection locked="0"/>
    </xf>
    <xf numFmtId="164" fontId="151" fillId="0" borderId="1" xfId="0" applyNumberFormat="1" applyFont="1" applyFill="1" applyBorder="1" applyProtection="1">
      <protection locked="0"/>
    </xf>
    <xf numFmtId="178" fontId="0" fillId="51" borderId="149" xfId="0" applyNumberFormat="1" applyFont="1" applyFill="1" applyBorder="1" applyProtection="1">
      <protection locked="0"/>
    </xf>
    <xf numFmtId="164" fontId="151" fillId="0" borderId="74" xfId="0" applyNumberFormat="1" applyFont="1" applyFill="1" applyBorder="1" applyProtection="1"/>
    <xf numFmtId="178" fontId="0" fillId="53" borderId="147" xfId="0" applyNumberFormat="1" applyFill="1" applyBorder="1" applyAlignment="1" applyProtection="1">
      <alignment horizontal="center"/>
      <protection locked="0"/>
    </xf>
    <xf numFmtId="178" fontId="0" fillId="53" borderId="147" xfId="0" applyNumberFormat="1" applyFont="1" applyFill="1" applyBorder="1" applyAlignment="1" applyProtection="1">
      <alignment horizontal="right" vertical="center"/>
      <protection locked="0"/>
    </xf>
    <xf numFmtId="178" fontId="0" fillId="53" borderId="139" xfId="0" applyNumberFormat="1" applyFont="1" applyFill="1" applyBorder="1" applyAlignment="1" applyProtection="1">
      <alignment horizontal="right" vertical="center"/>
      <protection locked="0"/>
    </xf>
    <xf numFmtId="0" fontId="152" fillId="43" borderId="150" xfId="0" applyFont="1" applyFill="1" applyBorder="1"/>
    <xf numFmtId="0" fontId="152" fillId="43" borderId="150" xfId="0" applyFont="1" applyFill="1" applyBorder="1" applyAlignment="1">
      <alignment horizontal="left" wrapText="1" readingOrder="1"/>
    </xf>
    <xf numFmtId="0" fontId="153" fillId="0" borderId="150" xfId="0" applyFont="1" applyBorder="1" applyAlignment="1">
      <alignment horizontal="left" wrapText="1" readingOrder="1"/>
    </xf>
    <xf numFmtId="0" fontId="154" fillId="43" borderId="151" xfId="0" applyFont="1" applyFill="1" applyBorder="1"/>
    <xf numFmtId="0" fontId="17" fillId="16" borderId="5" xfId="0" applyFont="1" applyFill="1" applyBorder="1" applyProtection="1"/>
    <xf numFmtId="0" fontId="0" fillId="0" borderId="149" xfId="0" applyFont="1" applyFill="1" applyBorder="1"/>
    <xf numFmtId="174" fontId="0" fillId="0" borderId="149" xfId="0" applyNumberFormat="1" applyFont="1" applyFill="1" applyBorder="1"/>
    <xf numFmtId="0" fontId="21" fillId="0" borderId="2" xfId="0" applyFont="1" applyBorder="1"/>
    <xf numFmtId="178" fontId="124" fillId="53" borderId="2" xfId="0" applyNumberFormat="1" applyFont="1" applyFill="1" applyBorder="1" applyAlignment="1" applyProtection="1">
      <alignment horizontal="right"/>
      <protection locked="0"/>
    </xf>
    <xf numFmtId="185" fontId="0" fillId="51" borderId="2" xfId="0" applyNumberFormat="1" applyFont="1" applyFill="1" applyBorder="1" applyProtection="1">
      <protection locked="0"/>
    </xf>
    <xf numFmtId="174" fontId="156" fillId="0" borderId="152" xfId="2" applyNumberFormat="1" applyFont="1" applyFill="1" applyBorder="1" applyAlignment="1"/>
    <xf numFmtId="174" fontId="156" fillId="0" borderId="146" xfId="2" applyNumberFormat="1" applyFont="1" applyFill="1" applyBorder="1" applyAlignment="1"/>
    <xf numFmtId="0" fontId="157" fillId="0" borderId="0" xfId="2" applyFont="1" applyAlignment="1" applyProtection="1">
      <alignment horizontal="center"/>
      <protection hidden="1"/>
    </xf>
    <xf numFmtId="0" fontId="6" fillId="48" borderId="153" xfId="0" applyFont="1" applyFill="1" applyBorder="1" applyAlignment="1" applyProtection="1">
      <alignment vertical="center"/>
    </xf>
    <xf numFmtId="0" fontId="67" fillId="29" borderId="5" xfId="0" applyFont="1" applyFill="1" applyBorder="1" applyProtection="1">
      <protection hidden="1"/>
    </xf>
    <xf numFmtId="0" fontId="67" fillId="21" borderId="2" xfId="0" applyFont="1" applyFill="1" applyBorder="1" applyAlignment="1" applyProtection="1">
      <alignment horizontal="center"/>
      <protection hidden="1"/>
    </xf>
    <xf numFmtId="0" fontId="67" fillId="21" borderId="8" xfId="0" applyFont="1" applyFill="1" applyBorder="1" applyAlignment="1" applyProtection="1">
      <alignment horizontal="center"/>
      <protection hidden="1"/>
    </xf>
    <xf numFmtId="0" fontId="159" fillId="0" borderId="5" xfId="0" applyFont="1" applyBorder="1" applyProtection="1">
      <protection hidden="1"/>
    </xf>
    <xf numFmtId="0" fontId="159" fillId="0" borderId="2" xfId="0" applyFont="1" applyBorder="1" applyProtection="1">
      <protection hidden="1"/>
    </xf>
    <xf numFmtId="0" fontId="159" fillId="0" borderId="2" xfId="0" applyFont="1" applyBorder="1" applyAlignment="1" applyProtection="1">
      <alignment horizontal="center"/>
      <protection hidden="1"/>
    </xf>
    <xf numFmtId="0" fontId="159" fillId="0" borderId="8" xfId="0" applyFont="1" applyBorder="1" applyAlignment="1" applyProtection="1">
      <alignment horizontal="center"/>
      <protection hidden="1"/>
    </xf>
    <xf numFmtId="164" fontId="159" fillId="0" borderId="2" xfId="0" applyNumberFormat="1" applyFont="1" applyBorder="1" applyProtection="1">
      <protection hidden="1"/>
    </xf>
    <xf numFmtId="0" fontId="159" fillId="0" borderId="7" xfId="0" applyFont="1" applyBorder="1" applyProtection="1">
      <protection hidden="1"/>
    </xf>
    <xf numFmtId="0" fontId="159" fillId="0" borderId="0" xfId="0" applyFont="1" applyBorder="1" applyProtection="1">
      <protection hidden="1"/>
    </xf>
    <xf numFmtId="0" fontId="159" fillId="0" borderId="28" xfId="0" applyFont="1" applyBorder="1" applyProtection="1">
      <protection hidden="1"/>
    </xf>
    <xf numFmtId="0" fontId="159" fillId="0" borderId="24" xfId="0" applyFont="1" applyBorder="1" applyProtection="1">
      <protection hidden="1"/>
    </xf>
    <xf numFmtId="164" fontId="159" fillId="0" borderId="6" xfId="0" applyNumberFormat="1" applyFont="1" applyBorder="1" applyProtection="1">
      <protection hidden="1"/>
    </xf>
    <xf numFmtId="0" fontId="159" fillId="0" borderId="26" xfId="0" applyFont="1" applyBorder="1" applyProtection="1">
      <protection hidden="1"/>
    </xf>
    <xf numFmtId="164" fontId="159" fillId="0" borderId="74" xfId="0" applyNumberFormat="1" applyFont="1" applyBorder="1" applyProtection="1">
      <protection hidden="1"/>
    </xf>
    <xf numFmtId="164" fontId="159" fillId="0" borderId="0" xfId="0" applyNumberFormat="1" applyFont="1" applyBorder="1" applyProtection="1">
      <protection hidden="1"/>
    </xf>
    <xf numFmtId="164" fontId="159" fillId="0" borderId="66" xfId="0" applyNumberFormat="1" applyFont="1" applyBorder="1" applyProtection="1">
      <protection hidden="1"/>
    </xf>
    <xf numFmtId="164" fontId="159" fillId="0" borderId="28" xfId="0" applyNumberFormat="1" applyFont="1" applyBorder="1" applyProtection="1">
      <protection hidden="1"/>
    </xf>
    <xf numFmtId="0" fontId="159" fillId="0" borderId="21" xfId="0" applyFont="1" applyBorder="1" applyProtection="1">
      <protection hidden="1"/>
    </xf>
    <xf numFmtId="0" fontId="159" fillId="0" borderId="51" xfId="0" applyFont="1" applyBorder="1" applyProtection="1">
      <protection hidden="1"/>
    </xf>
    <xf numFmtId="0" fontId="159" fillId="0" borderId="52" xfId="0" applyFont="1" applyBorder="1" applyProtection="1">
      <protection hidden="1"/>
    </xf>
    <xf numFmtId="0" fontId="159" fillId="0" borderId="53" xfId="0" applyFont="1" applyBorder="1" applyProtection="1">
      <protection hidden="1"/>
    </xf>
    <xf numFmtId="164" fontId="103" fillId="0" borderId="7" xfId="0" applyNumberFormat="1" applyFont="1" applyBorder="1" applyProtection="1">
      <protection hidden="1"/>
    </xf>
    <xf numFmtId="164" fontId="103" fillId="0" borderId="22" xfId="0" applyNumberFormat="1" applyFont="1" applyBorder="1" applyProtection="1">
      <protection hidden="1"/>
    </xf>
    <xf numFmtId="0" fontId="159" fillId="0" borderId="41" xfId="0" applyFont="1" applyBorder="1" applyProtection="1">
      <protection hidden="1"/>
    </xf>
    <xf numFmtId="0" fontId="159" fillId="0" borderId="55" xfId="0" applyFont="1" applyBorder="1" applyProtection="1">
      <protection hidden="1"/>
    </xf>
    <xf numFmtId="0" fontId="159" fillId="0" borderId="75" xfId="0" applyFont="1" applyBorder="1" applyProtection="1">
      <protection hidden="1"/>
    </xf>
    <xf numFmtId="164" fontId="159" fillId="0" borderId="25" xfId="0" applyNumberFormat="1" applyFont="1" applyBorder="1" applyProtection="1">
      <protection hidden="1"/>
    </xf>
    <xf numFmtId="164" fontId="159" fillId="0" borderId="2" xfId="0" applyNumberFormat="1" applyFont="1" applyFill="1" applyBorder="1" applyProtection="1">
      <protection hidden="1"/>
    </xf>
    <xf numFmtId="164" fontId="159" fillId="0" borderId="8" xfId="0" applyNumberFormat="1" applyFont="1" applyFill="1" applyBorder="1" applyProtection="1">
      <protection hidden="1"/>
    </xf>
    <xf numFmtId="164" fontId="160" fillId="0" borderId="0" xfId="0" applyNumberFormat="1" applyFont="1" applyBorder="1" applyProtection="1">
      <protection hidden="1"/>
    </xf>
    <xf numFmtId="0" fontId="161" fillId="30" borderId="5" xfId="0" applyFont="1" applyFill="1" applyBorder="1" applyProtection="1">
      <protection hidden="1"/>
    </xf>
    <xf numFmtId="0" fontId="159" fillId="0" borderId="0" xfId="0" applyFont="1" applyFill="1" applyBorder="1" applyProtection="1">
      <protection hidden="1"/>
    </xf>
    <xf numFmtId="0" fontId="159" fillId="30" borderId="5" xfId="0" applyFont="1" applyFill="1" applyBorder="1" applyProtection="1">
      <protection hidden="1"/>
    </xf>
    <xf numFmtId="164" fontId="159" fillId="30" borderId="2" xfId="0" applyNumberFormat="1" applyFont="1" applyFill="1" applyBorder="1" applyProtection="1">
      <protection hidden="1"/>
    </xf>
    <xf numFmtId="164" fontId="103" fillId="0" borderId="0" xfId="0" applyNumberFormat="1" applyFont="1" applyFill="1" applyBorder="1" applyProtection="1">
      <protection hidden="1"/>
    </xf>
    <xf numFmtId="164" fontId="103" fillId="0" borderId="0" xfId="0" applyNumberFormat="1" applyFont="1" applyBorder="1" applyProtection="1">
      <protection hidden="1"/>
    </xf>
    <xf numFmtId="164" fontId="159" fillId="30" borderId="29" xfId="0" applyNumberFormat="1" applyFont="1" applyFill="1" applyBorder="1" applyProtection="1">
      <protection hidden="1"/>
    </xf>
    <xf numFmtId="10" fontId="162" fillId="0" borderId="0" xfId="0" applyNumberFormat="1" applyFont="1" applyBorder="1" applyAlignment="1" applyProtection="1">
      <alignment horizontal="center"/>
      <protection hidden="1"/>
    </xf>
    <xf numFmtId="0" fontId="67" fillId="30" borderId="5" xfId="0" applyFont="1" applyFill="1" applyBorder="1" applyProtection="1">
      <protection hidden="1"/>
    </xf>
    <xf numFmtId="164" fontId="67" fillId="30" borderId="6" xfId="0" applyNumberFormat="1" applyFont="1" applyFill="1" applyBorder="1" applyProtection="1">
      <protection hidden="1"/>
    </xf>
    <xf numFmtId="0" fontId="159" fillId="0" borderId="23" xfId="0" applyFont="1" applyBorder="1" applyProtection="1">
      <protection hidden="1"/>
    </xf>
    <xf numFmtId="164" fontId="159" fillId="0" borderId="29" xfId="0" applyNumberFormat="1" applyFont="1" applyBorder="1" applyProtection="1">
      <protection hidden="1"/>
    </xf>
    <xf numFmtId="0" fontId="159" fillId="36" borderId="21" xfId="0" applyFont="1" applyFill="1" applyBorder="1" applyProtection="1">
      <protection hidden="1"/>
    </xf>
    <xf numFmtId="164" fontId="159" fillId="36" borderId="49" xfId="0" applyNumberFormat="1" applyFont="1" applyFill="1" applyBorder="1" applyProtection="1">
      <protection hidden="1"/>
    </xf>
    <xf numFmtId="164" fontId="159" fillId="36" borderId="6" xfId="0" applyNumberFormat="1" applyFont="1" applyFill="1" applyBorder="1" applyProtection="1">
      <protection hidden="1"/>
    </xf>
    <xf numFmtId="0" fontId="67" fillId="29" borderId="3" xfId="0" applyFont="1" applyFill="1" applyBorder="1" applyProtection="1">
      <protection hidden="1"/>
    </xf>
    <xf numFmtId="164" fontId="67" fillId="29" borderId="36" xfId="0" applyNumberFormat="1" applyFont="1" applyFill="1" applyBorder="1" applyAlignment="1" applyProtection="1">
      <alignment horizontal="right"/>
      <protection hidden="1"/>
    </xf>
    <xf numFmtId="164" fontId="103" fillId="0" borderId="95" xfId="0" applyNumberFormat="1" applyFont="1" applyFill="1" applyBorder="1" applyAlignment="1" applyProtection="1">
      <alignment horizontal="center"/>
      <protection hidden="1"/>
    </xf>
    <xf numFmtId="0" fontId="156" fillId="0" borderId="0" xfId="2" applyFont="1" applyBorder="1" applyAlignment="1" applyProtection="1">
      <alignment horizontal="center"/>
    </xf>
    <xf numFmtId="0" fontId="17" fillId="27" borderId="44" xfId="0" applyFont="1" applyFill="1" applyBorder="1" applyProtection="1"/>
    <xf numFmtId="0" fontId="10" fillId="27" borderId="104" xfId="0" applyFont="1" applyFill="1" applyBorder="1" applyAlignment="1" applyProtection="1">
      <alignment horizontal="center"/>
      <protection hidden="1"/>
    </xf>
    <xf numFmtId="0" fontId="10" fillId="27" borderId="85" xfId="0" applyFont="1" applyFill="1" applyBorder="1" applyAlignment="1" applyProtection="1">
      <alignment horizontal="center"/>
      <protection hidden="1"/>
    </xf>
    <xf numFmtId="0" fontId="117" fillId="0" borderId="0" xfId="0" applyFont="1" applyBorder="1" applyAlignment="1">
      <alignment horizontal="left" vertical="center" wrapText="1"/>
    </xf>
    <xf numFmtId="180" fontId="124" fillId="51" borderId="2" xfId="0" applyNumberFormat="1" applyFont="1" applyFill="1" applyBorder="1" applyAlignment="1" applyProtection="1">
      <alignment horizontal="center" vertical="center"/>
      <protection locked="0"/>
    </xf>
    <xf numFmtId="0" fontId="67" fillId="28" borderId="16" xfId="0" applyFont="1" applyFill="1" applyBorder="1" applyProtection="1">
      <protection hidden="1"/>
    </xf>
    <xf numFmtId="8" fontId="67" fillId="28" borderId="0" xfId="0" applyNumberFormat="1" applyFont="1" applyFill="1" applyBorder="1" applyAlignment="1" applyProtection="1">
      <alignment horizontal="right"/>
      <protection hidden="1"/>
    </xf>
    <xf numFmtId="8" fontId="67" fillId="28" borderId="0" xfId="0" applyNumberFormat="1" applyFont="1" applyFill="1" applyBorder="1" applyProtection="1">
      <protection hidden="1"/>
    </xf>
    <xf numFmtId="8" fontId="67" fillId="28" borderId="66" xfId="0" applyNumberFormat="1" applyFont="1" applyFill="1" applyBorder="1" applyProtection="1">
      <protection hidden="1"/>
    </xf>
    <xf numFmtId="0" fontId="0" fillId="0" borderId="131" xfId="0" applyFont="1" applyBorder="1" applyAlignment="1">
      <alignment horizontal="center" vertical="center"/>
    </xf>
    <xf numFmtId="0" fontId="21" fillId="0" borderId="141" xfId="0" applyFont="1" applyBorder="1" applyAlignment="1">
      <alignment vertical="center" wrapText="1"/>
    </xf>
    <xf numFmtId="0" fontId="164" fillId="0" borderId="141" xfId="0" applyFont="1" applyBorder="1" applyAlignment="1">
      <alignment horizontal="center" vertical="center" wrapText="1"/>
    </xf>
    <xf numFmtId="2" fontId="165" fillId="0" borderId="141" xfId="0" applyNumberFormat="1" applyFont="1" applyBorder="1" applyAlignment="1" applyProtection="1">
      <alignment horizontal="center" vertical="center" wrapText="1"/>
      <protection locked="0"/>
    </xf>
    <xf numFmtId="0" fontId="128" fillId="0" borderId="143" xfId="0" applyFont="1" applyBorder="1" applyAlignment="1">
      <alignment horizontal="center" wrapText="1"/>
    </xf>
    <xf numFmtId="0" fontId="0" fillId="0" borderId="149" xfId="0" applyFont="1" applyBorder="1" applyAlignment="1">
      <alignment horizontal="center" vertical="center"/>
    </xf>
    <xf numFmtId="0" fontId="0" fillId="0" borderId="138" xfId="0" applyFont="1" applyBorder="1"/>
    <xf numFmtId="1" fontId="123" fillId="0" borderId="149" xfId="0" applyNumberFormat="1" applyFont="1" applyBorder="1" applyAlignment="1">
      <alignment horizontal="center" vertical="center" wrapText="1"/>
    </xf>
    <xf numFmtId="0" fontId="0" fillId="0" borderId="149" xfId="0" applyFont="1" applyBorder="1" applyAlignment="1">
      <alignment horizontal="center"/>
    </xf>
    <xf numFmtId="0" fontId="128" fillId="0" borderId="146" xfId="0" applyFont="1" applyBorder="1" applyAlignment="1">
      <alignment horizontal="center" wrapText="1"/>
    </xf>
    <xf numFmtId="174" fontId="166" fillId="0" borderId="149" xfId="0" applyNumberFormat="1" applyFont="1" applyFill="1" applyBorder="1"/>
    <xf numFmtId="174" fontId="21" fillId="20" borderId="149" xfId="0" applyNumberFormat="1" applyFont="1" applyFill="1" applyBorder="1" applyAlignment="1" applyProtection="1">
      <alignment horizontal="center"/>
      <protection locked="0"/>
    </xf>
    <xf numFmtId="0" fontId="117" fillId="0" borderId="0" xfId="0" applyFont="1" applyBorder="1" applyAlignment="1">
      <alignment horizontal="left" vertical="center" wrapText="1"/>
    </xf>
    <xf numFmtId="0" fontId="1" fillId="0" borderId="131" xfId="0" applyFont="1" applyBorder="1" applyAlignment="1">
      <alignment vertical="center" wrapText="1"/>
    </xf>
    <xf numFmtId="0" fontId="0" fillId="0" borderId="131" xfId="0" applyFont="1" applyBorder="1" applyAlignment="1">
      <alignment vertical="center" wrapText="1"/>
    </xf>
    <xf numFmtId="0" fontId="0" fillId="0" borderId="0" xfId="0" applyFill="1" applyBorder="1" applyAlignment="1" applyProtection="1">
      <alignment horizontal="center" vertical="center" wrapText="1"/>
      <protection hidden="1"/>
    </xf>
    <xf numFmtId="0" fontId="0" fillId="0" borderId="157" xfId="0" applyFont="1" applyBorder="1"/>
    <xf numFmtId="178" fontId="0" fillId="51" borderId="157" xfId="0" applyNumberFormat="1" applyFont="1" applyFill="1" applyBorder="1" applyProtection="1">
      <protection locked="0"/>
    </xf>
    <xf numFmtId="178" fontId="0" fillId="0" borderId="157" xfId="0" applyNumberFormat="1" applyFont="1" applyFill="1" applyBorder="1" applyProtection="1"/>
    <xf numFmtId="178" fontId="80" fillId="0" borderId="2" xfId="0" applyNumberFormat="1" applyFont="1" applyBorder="1" applyAlignment="1">
      <alignment vertical="center"/>
    </xf>
    <xf numFmtId="0" fontId="167" fillId="0" borderId="147" xfId="0" applyFont="1" applyBorder="1" applyAlignment="1">
      <alignment horizontal="center"/>
    </xf>
    <xf numFmtId="0" fontId="167" fillId="0" borderId="2" xfId="0" applyFont="1" applyBorder="1" applyAlignment="1">
      <alignment horizontal="center"/>
    </xf>
    <xf numFmtId="14" fontId="17" fillId="20" borderId="158" xfId="0" applyNumberFormat="1" applyFont="1" applyFill="1" applyBorder="1" applyAlignment="1" applyProtection="1">
      <alignment horizontal="center"/>
      <protection locked="0"/>
    </xf>
    <xf numFmtId="0" fontId="168" fillId="58" borderId="159" xfId="0" applyFont="1" applyFill="1" applyBorder="1" applyAlignment="1">
      <alignment horizontal="center" vertical="center"/>
    </xf>
    <xf numFmtId="0" fontId="0" fillId="58" borderId="0" xfId="0" applyFill="1" applyBorder="1" applyAlignment="1">
      <alignment horizontal="center" vertical="center"/>
    </xf>
    <xf numFmtId="0" fontId="0" fillId="58" borderId="160" xfId="0" applyFill="1" applyBorder="1" applyAlignment="1">
      <alignment horizontal="center" vertical="center"/>
    </xf>
    <xf numFmtId="0" fontId="169" fillId="48" borderId="136" xfId="2" applyFont="1" applyFill="1" applyBorder="1" applyAlignment="1" applyProtection="1">
      <alignment vertical="center"/>
    </xf>
    <xf numFmtId="0" fontId="1" fillId="0" borderId="157" xfId="0" applyFont="1" applyBorder="1"/>
    <xf numFmtId="164" fontId="17" fillId="5" borderId="157" xfId="0" applyNumberFormat="1" applyFont="1" applyFill="1" applyBorder="1" applyAlignment="1" applyProtection="1">
      <alignment horizontal="center"/>
    </xf>
    <xf numFmtId="1" fontId="125" fillId="50" borderId="131" xfId="0" applyNumberFormat="1" applyFont="1" applyFill="1" applyBorder="1" applyAlignment="1">
      <alignment vertical="center" wrapText="1"/>
    </xf>
    <xf numFmtId="0" fontId="174" fillId="0" borderId="0" xfId="0" applyFont="1" applyAlignment="1">
      <alignment vertical="center"/>
    </xf>
    <xf numFmtId="14" fontId="175" fillId="0" borderId="0" xfId="0" applyNumberFormat="1" applyFont="1" applyFill="1"/>
    <xf numFmtId="0" fontId="0" fillId="0" borderId="0" xfId="0" applyAlignment="1">
      <alignment horizontal="center" vertical="center"/>
    </xf>
    <xf numFmtId="0" fontId="63" fillId="0" borderId="26" xfId="0" applyFont="1" applyFill="1" applyBorder="1" applyAlignment="1" applyProtection="1">
      <alignment vertical="center"/>
      <protection hidden="1"/>
    </xf>
    <xf numFmtId="164" fontId="62" fillId="0" borderId="141" xfId="0" applyNumberFormat="1" applyFont="1" applyFill="1" applyBorder="1"/>
    <xf numFmtId="164" fontId="37" fillId="0" borderId="141" xfId="0" applyNumberFormat="1" applyFont="1" applyFill="1" applyBorder="1" applyAlignment="1" applyProtection="1">
      <alignment vertical="center"/>
      <protection hidden="1"/>
    </xf>
    <xf numFmtId="0" fontId="94" fillId="8" borderId="86" xfId="0" applyFont="1" applyFill="1" applyBorder="1" applyProtection="1"/>
    <xf numFmtId="164" fontId="17" fillId="21" borderId="128" xfId="0" applyNumberFormat="1" applyFont="1" applyFill="1" applyBorder="1" applyAlignment="1" applyProtection="1">
      <alignment horizontal="center"/>
    </xf>
    <xf numFmtId="164" fontId="17" fillId="21" borderId="161" xfId="0" applyNumberFormat="1" applyFont="1" applyFill="1" applyBorder="1" applyAlignment="1" applyProtection="1">
      <alignment horizontal="center"/>
    </xf>
    <xf numFmtId="0" fontId="17" fillId="0" borderId="18" xfId="0" applyFont="1" applyBorder="1"/>
    <xf numFmtId="0" fontId="180" fillId="58" borderId="128" xfId="0" applyFont="1" applyFill="1" applyBorder="1"/>
    <xf numFmtId="164" fontId="17" fillId="0" borderId="9" xfId="0" applyNumberFormat="1" applyFont="1" applyFill="1" applyBorder="1" applyAlignment="1" applyProtection="1">
      <alignment horizontal="right"/>
      <protection locked="0"/>
    </xf>
    <xf numFmtId="164" fontId="17" fillId="0" borderId="10" xfId="0" applyNumberFormat="1" applyFont="1" applyFill="1" applyBorder="1" applyAlignment="1" applyProtection="1">
      <alignment horizontal="right"/>
      <protection locked="0"/>
    </xf>
    <xf numFmtId="3" fontId="180" fillId="58" borderId="36" xfId="0" applyNumberFormat="1" applyFont="1" applyFill="1" applyBorder="1" applyAlignment="1">
      <alignment horizontal="center"/>
    </xf>
    <xf numFmtId="164" fontId="17" fillId="0" borderId="1" xfId="0" applyNumberFormat="1" applyFont="1" applyFill="1" applyBorder="1" applyAlignment="1" applyProtection="1">
      <alignment horizontal="right"/>
      <protection locked="0"/>
    </xf>
    <xf numFmtId="164" fontId="17" fillId="0" borderId="11" xfId="0" applyNumberFormat="1" applyFont="1" applyFill="1" applyBorder="1" applyAlignment="1" applyProtection="1">
      <alignment horizontal="right"/>
      <protection locked="0"/>
    </xf>
    <xf numFmtId="0" fontId="14" fillId="0" borderId="24" xfId="0" applyFont="1" applyFill="1" applyBorder="1" applyProtection="1"/>
    <xf numFmtId="164" fontId="179" fillId="0" borderId="141" xfId="0" applyNumberFormat="1" applyFont="1" applyFill="1" applyBorder="1"/>
    <xf numFmtId="164" fontId="179" fillId="58" borderId="154" xfId="0" applyNumberFormat="1" applyFont="1" applyFill="1" applyBorder="1" applyProtection="1"/>
    <xf numFmtId="164" fontId="179" fillId="58" borderId="138" xfId="0" applyNumberFormat="1" applyFont="1" applyFill="1" applyBorder="1" applyProtection="1"/>
    <xf numFmtId="164" fontId="179" fillId="58" borderId="0" xfId="0" applyNumberFormat="1" applyFont="1" applyFill="1" applyBorder="1" applyProtection="1"/>
    <xf numFmtId="164" fontId="179" fillId="58" borderId="162" xfId="0" applyNumberFormat="1" applyFont="1" applyFill="1" applyBorder="1" applyProtection="1"/>
    <xf numFmtId="0" fontId="1" fillId="0" borderId="139" xfId="0" applyFont="1" applyBorder="1"/>
    <xf numFmtId="178" fontId="124" fillId="59" borderId="139" xfId="0" applyNumberFormat="1" applyFont="1" applyFill="1" applyBorder="1" applyProtection="1"/>
    <xf numFmtId="0" fontId="122" fillId="0" borderId="2" xfId="0" applyFont="1" applyBorder="1" applyAlignment="1">
      <alignment vertical="center"/>
    </xf>
    <xf numFmtId="44" fontId="17" fillId="0" borderId="2" xfId="3" applyFont="1" applyFill="1" applyBorder="1" applyAlignment="1" applyProtection="1">
      <alignment horizontal="center"/>
      <protection locked="0"/>
    </xf>
    <xf numFmtId="178" fontId="124" fillId="0" borderId="157" xfId="0" applyNumberFormat="1" applyFont="1" applyBorder="1"/>
    <xf numFmtId="0" fontId="0" fillId="0" borderId="156" xfId="0" applyFont="1" applyBorder="1"/>
    <xf numFmtId="178" fontId="124" fillId="0" borderId="156" xfId="0" applyNumberFormat="1" applyFont="1" applyBorder="1"/>
    <xf numFmtId="178" fontId="0" fillId="51" borderId="156" xfId="0" applyNumberFormat="1" applyFont="1" applyFill="1" applyBorder="1" applyProtection="1">
      <protection locked="0"/>
    </xf>
    <xf numFmtId="0" fontId="0" fillId="0" borderId="9" xfId="0" applyFont="1" applyBorder="1"/>
    <xf numFmtId="178" fontId="124" fillId="0" borderId="9" xfId="0" applyNumberFormat="1" applyFont="1" applyBorder="1"/>
    <xf numFmtId="178" fontId="0" fillId="51" borderId="9" xfId="0" applyNumberFormat="1" applyFont="1" applyFill="1" applyBorder="1" applyProtection="1">
      <protection locked="0"/>
    </xf>
    <xf numFmtId="178" fontId="0" fillId="51" borderId="10" xfId="0" applyNumberFormat="1" applyFont="1" applyFill="1" applyBorder="1" applyProtection="1">
      <protection locked="0"/>
    </xf>
    <xf numFmtId="0" fontId="0" fillId="0" borderId="5" xfId="0" applyFont="1" applyBorder="1"/>
    <xf numFmtId="178" fontId="0" fillId="51" borderId="8" xfId="0" applyNumberFormat="1" applyFont="1" applyFill="1" applyBorder="1" applyProtection="1">
      <protection locked="0"/>
    </xf>
    <xf numFmtId="0" fontId="21" fillId="0" borderId="4" xfId="0" applyFont="1" applyBorder="1"/>
    <xf numFmtId="178" fontId="0" fillId="59" borderId="157" xfId="0" applyNumberFormat="1" applyFont="1" applyFill="1" applyBorder="1" applyProtection="1"/>
    <xf numFmtId="178" fontId="0" fillId="59" borderId="8" xfId="0" applyNumberFormat="1" applyFont="1" applyFill="1" applyBorder="1" applyProtection="1"/>
    <xf numFmtId="0" fontId="21" fillId="20" borderId="149" xfId="0" applyFont="1" applyFill="1" applyBorder="1" applyAlignment="1" applyProtection="1">
      <alignment horizontal="center"/>
      <protection locked="0"/>
    </xf>
    <xf numFmtId="0" fontId="170" fillId="25" borderId="0" xfId="0" applyFont="1" applyFill="1" applyBorder="1" applyAlignment="1" applyProtection="1">
      <alignment horizontal="center" vertical="center" wrapText="1"/>
      <protection locked="0" hidden="1"/>
    </xf>
    <xf numFmtId="0" fontId="17" fillId="0" borderId="23" xfId="0" applyFont="1" applyFill="1" applyBorder="1" applyAlignment="1">
      <alignment vertical="center" wrapText="1"/>
    </xf>
    <xf numFmtId="164" fontId="17" fillId="0" borderId="0" xfId="0" applyNumberFormat="1" applyFont="1" applyFill="1" applyBorder="1" applyAlignment="1">
      <alignment vertical="center"/>
    </xf>
    <xf numFmtId="164" fontId="17" fillId="0" borderId="0" xfId="0" applyNumberFormat="1" applyFont="1" applyFill="1" applyBorder="1" applyAlignment="1" applyProtection="1">
      <alignment vertical="center"/>
      <protection locked="0"/>
    </xf>
    <xf numFmtId="0" fontId="166" fillId="0" borderId="157" xfId="0" applyFont="1" applyBorder="1" applyAlignment="1">
      <alignment wrapText="1"/>
    </xf>
    <xf numFmtId="178" fontId="124" fillId="60" borderId="0" xfId="0" applyNumberFormat="1" applyFont="1" applyFill="1" applyBorder="1" applyAlignment="1" applyProtection="1">
      <alignment vertical="center"/>
    </xf>
    <xf numFmtId="178" fontId="124" fillId="60" borderId="66" xfId="0" applyNumberFormat="1" applyFont="1" applyFill="1" applyBorder="1" applyAlignment="1" applyProtection="1">
      <alignment vertical="center"/>
    </xf>
    <xf numFmtId="178" fontId="124" fillId="53" borderId="164" xfId="0" applyNumberFormat="1" applyFont="1" applyFill="1" applyBorder="1" applyAlignment="1" applyProtection="1">
      <alignment vertical="center"/>
      <protection locked="0"/>
    </xf>
    <xf numFmtId="178" fontId="124" fillId="53" borderId="163" xfId="0" applyNumberFormat="1" applyFont="1" applyFill="1" applyBorder="1" applyAlignment="1" applyProtection="1">
      <alignment vertical="center"/>
      <protection locked="0"/>
    </xf>
    <xf numFmtId="176" fontId="121" fillId="0" borderId="157" xfId="3" applyNumberFormat="1" applyFont="1" applyBorder="1" applyAlignment="1" applyProtection="1">
      <alignment horizontal="center"/>
    </xf>
    <xf numFmtId="178" fontId="124" fillId="53" borderId="157" xfId="0" applyNumberFormat="1" applyFont="1" applyFill="1" applyBorder="1" applyAlignment="1" applyProtection="1">
      <alignment horizontal="center"/>
      <protection locked="0"/>
    </xf>
    <xf numFmtId="177" fontId="0" fillId="51" borderId="157" xfId="0" applyNumberFormat="1" applyFill="1" applyBorder="1" applyAlignment="1" applyProtection="1">
      <alignment horizontal="center"/>
      <protection locked="0"/>
    </xf>
    <xf numFmtId="179" fontId="0" fillId="51" borderId="157" xfId="0" applyNumberFormat="1" applyFont="1" applyFill="1" applyBorder="1" applyProtection="1">
      <protection locked="0"/>
    </xf>
    <xf numFmtId="178" fontId="0" fillId="52" borderId="157" xfId="0" applyNumberFormat="1" applyFont="1" applyFill="1" applyBorder="1" applyProtection="1">
      <protection locked="0"/>
    </xf>
    <xf numFmtId="178" fontId="0" fillId="53" borderId="157" xfId="0" applyNumberFormat="1" applyFont="1" applyFill="1" applyBorder="1" applyProtection="1">
      <protection locked="0"/>
    </xf>
    <xf numFmtId="178" fontId="0" fillId="59" borderId="139" xfId="0" applyNumberFormat="1" applyFont="1" applyFill="1" applyBorder="1" applyProtection="1"/>
    <xf numFmtId="178" fontId="122" fillId="0" borderId="147" xfId="0" applyNumberFormat="1" applyFont="1" applyBorder="1"/>
    <xf numFmtId="0" fontId="117" fillId="0" borderId="0" xfId="0" applyFont="1" applyBorder="1" applyAlignment="1">
      <alignment vertical="center" wrapText="1"/>
    </xf>
    <xf numFmtId="0" fontId="0" fillId="0" borderId="165" xfId="0" applyFont="1" applyBorder="1"/>
    <xf numFmtId="178" fontId="0" fillId="51" borderId="166" xfId="0" applyNumberFormat="1" applyFont="1" applyFill="1" applyBorder="1" applyProtection="1">
      <protection locked="0"/>
    </xf>
    <xf numFmtId="178" fontId="122" fillId="0" borderId="167" xfId="0" applyNumberFormat="1" applyFont="1" applyBorder="1" applyProtection="1"/>
    <xf numFmtId="178" fontId="122" fillId="0" borderId="168" xfId="0" applyNumberFormat="1" applyFont="1" applyBorder="1" applyProtection="1"/>
    <xf numFmtId="0" fontId="9" fillId="0" borderId="110" xfId="0" applyNumberFormat="1" applyFont="1" applyFill="1" applyBorder="1" applyAlignment="1" applyProtection="1">
      <alignment wrapText="1"/>
      <protection hidden="1"/>
    </xf>
    <xf numFmtId="0" fontId="9" fillId="0" borderId="110" xfId="0" applyNumberFormat="1" applyFont="1" applyBorder="1" applyAlignment="1" applyProtection="1">
      <alignment wrapText="1"/>
      <protection hidden="1"/>
    </xf>
    <xf numFmtId="0" fontId="9" fillId="0" borderId="117" xfId="0" applyNumberFormat="1" applyFont="1" applyFill="1" applyBorder="1" applyAlignment="1" applyProtection="1">
      <alignment wrapText="1"/>
      <protection hidden="1"/>
    </xf>
    <xf numFmtId="0" fontId="56" fillId="0" borderId="114" xfId="0" applyNumberFormat="1" applyFont="1" applyFill="1" applyBorder="1" applyAlignment="1" applyProtection="1">
      <alignment wrapText="1"/>
      <protection hidden="1"/>
    </xf>
    <xf numFmtId="178" fontId="124" fillId="0" borderId="169" xfId="0" applyNumberFormat="1" applyFont="1" applyBorder="1"/>
    <xf numFmtId="0" fontId="21" fillId="0" borderId="169" xfId="0" applyFont="1" applyBorder="1"/>
    <xf numFmtId="178" fontId="0" fillId="0" borderId="169" xfId="0" applyNumberFormat="1" applyFont="1" applyFill="1" applyBorder="1" applyProtection="1"/>
    <xf numFmtId="178" fontId="0" fillId="25" borderId="169" xfId="0" applyNumberFormat="1" applyFont="1" applyFill="1" applyBorder="1" applyProtection="1">
      <protection locked="0"/>
    </xf>
    <xf numFmtId="2" fontId="9" fillId="0" borderId="0" xfId="0" applyNumberFormat="1" applyFont="1" applyFill="1" applyProtection="1">
      <protection hidden="1"/>
    </xf>
    <xf numFmtId="2" fontId="9" fillId="0" borderId="138" xfId="0" applyNumberFormat="1" applyFont="1" applyFill="1" applyBorder="1" applyProtection="1">
      <protection hidden="1"/>
    </xf>
    <xf numFmtId="164" fontId="9" fillId="0" borderId="138" xfId="0" applyNumberFormat="1" applyFont="1" applyFill="1" applyBorder="1" applyProtection="1">
      <protection hidden="1"/>
    </xf>
    <xf numFmtId="0" fontId="9" fillId="0" borderId="138" xfId="0" applyFont="1" applyFill="1" applyBorder="1" applyAlignment="1" applyProtection="1">
      <alignment horizontal="center"/>
      <protection hidden="1"/>
    </xf>
    <xf numFmtId="0" fontId="5" fillId="0" borderId="0" xfId="0" applyFont="1" applyBorder="1" applyProtection="1">
      <protection hidden="1"/>
    </xf>
    <xf numFmtId="0" fontId="30" fillId="0" borderId="0" xfId="0" applyNumberFormat="1" applyFont="1" applyFill="1" applyBorder="1" applyAlignment="1" applyProtection="1">
      <alignment horizontal="center"/>
      <protection hidden="1"/>
    </xf>
    <xf numFmtId="0" fontId="31" fillId="0" borderId="0" xfId="0" applyFont="1" applyBorder="1" applyAlignment="1" applyProtection="1">
      <alignment horizontal="center"/>
      <protection hidden="1"/>
    </xf>
    <xf numFmtId="14" fontId="6" fillId="0" borderId="0" xfId="0" applyNumberFormat="1" applyFont="1" applyFill="1" applyBorder="1" applyProtection="1">
      <protection hidden="1"/>
    </xf>
    <xf numFmtId="0" fontId="17" fillId="0" borderId="0" xfId="0" applyFont="1" applyBorder="1" applyAlignment="1" applyProtection="1">
      <alignment horizontal="center"/>
      <protection hidden="1"/>
    </xf>
    <xf numFmtId="14" fontId="6" fillId="0" borderId="0" xfId="0" applyNumberFormat="1" applyFont="1" applyBorder="1" applyProtection="1">
      <protection hidden="1"/>
    </xf>
    <xf numFmtId="14" fontId="6" fillId="0" borderId="17" xfId="0" applyNumberFormat="1" applyFont="1" applyFill="1" applyBorder="1" applyAlignment="1" applyProtection="1">
      <alignment horizontal="center"/>
      <protection hidden="1"/>
    </xf>
    <xf numFmtId="178" fontId="124" fillId="53" borderId="157" xfId="0" applyNumberFormat="1" applyFont="1" applyFill="1" applyBorder="1" applyProtection="1">
      <protection locked="0"/>
    </xf>
    <xf numFmtId="0" fontId="166" fillId="0" borderId="157" xfId="0" applyFont="1" applyBorder="1"/>
    <xf numFmtId="0" fontId="184" fillId="0" borderId="139" xfId="0" applyFont="1" applyBorder="1"/>
    <xf numFmtId="0" fontId="166" fillId="0" borderId="139" xfId="0" applyFont="1" applyBorder="1" applyAlignment="1">
      <alignment horizontal="left"/>
    </xf>
    <xf numFmtId="0" fontId="185" fillId="0" borderId="169" xfId="0" applyFont="1" applyBorder="1"/>
    <xf numFmtId="0" fontId="150" fillId="0" borderId="0" xfId="2" applyFont="1" applyAlignment="1">
      <alignment horizontal="center"/>
    </xf>
    <xf numFmtId="0" fontId="1" fillId="25" borderId="0" xfId="0" applyFont="1" applyFill="1" applyAlignment="1">
      <alignment horizontal="center" vertical="center"/>
    </xf>
    <xf numFmtId="0" fontId="0" fillId="25" borderId="0" xfId="0" applyFill="1" applyAlignment="1">
      <alignment horizontal="center" vertical="center"/>
    </xf>
    <xf numFmtId="0" fontId="1" fillId="0" borderId="0" xfId="0" applyFont="1" applyAlignment="1">
      <alignment horizontal="left" vertical="center" wrapText="1"/>
    </xf>
    <xf numFmtId="0" fontId="0" fillId="0" borderId="0" xfId="0" applyAlignment="1">
      <alignment horizontal="left" vertical="center"/>
    </xf>
    <xf numFmtId="0" fontId="70" fillId="0" borderId="0" xfId="0" applyFont="1" applyAlignment="1">
      <alignment horizontal="left" vertical="center" wrapText="1"/>
    </xf>
    <xf numFmtId="0" fontId="70" fillId="0" borderId="0" xfId="0" applyFont="1" applyAlignment="1">
      <alignment horizontal="left" vertical="center"/>
    </xf>
    <xf numFmtId="178" fontId="122" fillId="0" borderId="147" xfId="0" applyNumberFormat="1" applyFont="1" applyBorder="1" applyAlignment="1">
      <alignment horizontal="left" wrapText="1"/>
    </xf>
    <xf numFmtId="178" fontId="122" fillId="0" borderId="146" xfId="0" applyNumberFormat="1" applyFont="1" applyBorder="1" applyAlignment="1">
      <alignment horizontal="left" wrapText="1"/>
    </xf>
    <xf numFmtId="0" fontId="117" fillId="0" borderId="0" xfId="0" applyFont="1" applyBorder="1" applyAlignment="1">
      <alignment horizontal="center" vertical="center" wrapText="1"/>
    </xf>
    <xf numFmtId="0" fontId="174" fillId="0" borderId="131" xfId="0" applyFont="1" applyBorder="1" applyAlignment="1">
      <alignment horizontal="center" vertical="center"/>
    </xf>
    <xf numFmtId="0" fontId="174" fillId="0" borderId="0" xfId="0" applyFont="1" applyBorder="1" applyAlignment="1">
      <alignment horizontal="center" vertical="center"/>
    </xf>
    <xf numFmtId="0" fontId="181" fillId="0" borderId="147" xfId="0" applyFont="1" applyBorder="1" applyAlignment="1">
      <alignment horizontal="center" vertical="center"/>
    </xf>
    <xf numFmtId="0" fontId="181" fillId="0" borderId="146" xfId="0" applyFont="1" applyBorder="1" applyAlignment="1">
      <alignment horizontal="center" vertical="center"/>
    </xf>
    <xf numFmtId="0" fontId="6" fillId="57" borderId="153" xfId="0" applyFont="1" applyFill="1" applyBorder="1" applyAlignment="1" applyProtection="1">
      <alignment horizontal="left" vertical="center" wrapText="1"/>
    </xf>
    <xf numFmtId="0" fontId="26" fillId="57" borderId="136" xfId="0" applyFont="1" applyFill="1" applyBorder="1" applyAlignment="1">
      <alignment horizontal="left" vertical="center" wrapText="1"/>
    </xf>
    <xf numFmtId="164" fontId="5" fillId="57" borderId="145" xfId="0" applyNumberFormat="1" applyFont="1" applyFill="1" applyBorder="1" applyAlignment="1" applyProtection="1">
      <alignment horizontal="right" vertical="center"/>
      <protection hidden="1"/>
    </xf>
    <xf numFmtId="0" fontId="0" fillId="57" borderId="75" xfId="0" applyFill="1" applyBorder="1" applyAlignment="1">
      <alignment vertical="center"/>
    </xf>
    <xf numFmtId="164" fontId="156" fillId="57" borderId="51" xfId="2" applyNumberFormat="1" applyFont="1" applyFill="1" applyBorder="1" applyAlignment="1" applyProtection="1">
      <alignment horizontal="center" vertical="center" wrapText="1"/>
    </xf>
    <xf numFmtId="0" fontId="156" fillId="57" borderId="143" xfId="2" applyFont="1" applyFill="1" applyBorder="1" applyAlignment="1">
      <alignment horizontal="center" vertical="center" wrapText="1"/>
    </xf>
    <xf numFmtId="0" fontId="156" fillId="57" borderId="41" xfId="2" applyFont="1" applyFill="1" applyBorder="1" applyAlignment="1">
      <alignment horizontal="center" vertical="center" wrapText="1"/>
    </xf>
    <xf numFmtId="0" fontId="156" fillId="57" borderId="75" xfId="2" applyFont="1" applyFill="1" applyBorder="1" applyAlignment="1">
      <alignment horizontal="center" vertical="center" wrapText="1"/>
    </xf>
    <xf numFmtId="164" fontId="67" fillId="0" borderId="0" xfId="0" applyNumberFormat="1" applyFont="1" applyFill="1" applyBorder="1" applyAlignment="1" applyProtection="1">
      <alignment horizontal="center" vertical="center" wrapText="1"/>
      <protection hidden="1"/>
    </xf>
    <xf numFmtId="0" fontId="70" fillId="25" borderId="0" xfId="0" applyFont="1" applyFill="1" applyBorder="1" applyAlignment="1" applyProtection="1">
      <alignment horizontal="center" vertical="center" wrapText="1"/>
      <protection hidden="1"/>
    </xf>
    <xf numFmtId="0" fontId="0" fillId="0" borderId="2" xfId="0" applyFont="1" applyBorder="1" applyAlignment="1">
      <alignment horizontal="center" vertical="center"/>
    </xf>
    <xf numFmtId="14" fontId="127" fillId="51" borderId="144" xfId="0" applyNumberFormat="1" applyFont="1" applyFill="1" applyBorder="1" applyAlignment="1" applyProtection="1">
      <alignment horizontal="center" vertical="center" wrapText="1"/>
      <protection locked="0"/>
    </xf>
    <xf numFmtId="14" fontId="127" fillId="51" borderId="155" xfId="0" applyNumberFormat="1" applyFont="1" applyFill="1" applyBorder="1" applyAlignment="1" applyProtection="1">
      <alignment horizontal="center" vertical="center" wrapText="1"/>
      <protection locked="0"/>
    </xf>
    <xf numFmtId="0" fontId="0" fillId="0" borderId="156" xfId="0" applyBorder="1" applyAlignment="1">
      <alignment horizontal="center"/>
    </xf>
    <xf numFmtId="0" fontId="0" fillId="0" borderId="141" xfId="0" applyBorder="1" applyAlignment="1">
      <alignment horizontal="center"/>
    </xf>
    <xf numFmtId="0" fontId="0" fillId="0" borderId="142" xfId="0" applyBorder="1" applyAlignment="1">
      <alignment horizontal="center"/>
    </xf>
    <xf numFmtId="0" fontId="0" fillId="0" borderId="153" xfId="0" applyBorder="1" applyAlignment="1">
      <alignment horizontal="center"/>
    </xf>
    <xf numFmtId="0" fontId="0" fillId="0" borderId="143" xfId="0" applyBorder="1" applyAlignment="1">
      <alignment horizontal="center"/>
    </xf>
    <xf numFmtId="0" fontId="0" fillId="0" borderId="145" xfId="0" applyBorder="1" applyAlignment="1">
      <alignment horizontal="center"/>
    </xf>
    <xf numFmtId="0" fontId="0" fillId="0" borderId="131" xfId="0" applyBorder="1" applyAlignment="1">
      <alignment horizontal="center"/>
    </xf>
    <xf numFmtId="0" fontId="0" fillId="0" borderId="0" xfId="0" applyBorder="1" applyAlignment="1">
      <alignment horizontal="center"/>
    </xf>
    <xf numFmtId="0" fontId="0" fillId="0" borderId="66" xfId="0" applyBorder="1" applyAlignment="1">
      <alignment horizontal="center"/>
    </xf>
    <xf numFmtId="0" fontId="0" fillId="0" borderId="154" xfId="0" applyBorder="1" applyAlignment="1">
      <alignment horizontal="center"/>
    </xf>
    <xf numFmtId="0" fontId="0" fillId="0" borderId="138" xfId="0" applyBorder="1" applyAlignment="1">
      <alignment horizontal="center"/>
    </xf>
    <xf numFmtId="0" fontId="0" fillId="0" borderId="144" xfId="0" applyBorder="1" applyAlignment="1">
      <alignment horizontal="center"/>
    </xf>
    <xf numFmtId="0" fontId="166" fillId="51" borderId="153" xfId="0" applyFont="1" applyFill="1" applyBorder="1" applyAlignment="1">
      <alignment horizontal="center" vertical="center" wrapText="1"/>
    </xf>
    <xf numFmtId="0" fontId="166" fillId="51" borderId="143" xfId="0" applyFont="1" applyFill="1" applyBorder="1" applyAlignment="1">
      <alignment horizontal="center" vertical="center" wrapText="1"/>
    </xf>
    <xf numFmtId="0" fontId="166" fillId="51" borderId="145" xfId="0" applyFont="1" applyFill="1" applyBorder="1" applyAlignment="1">
      <alignment horizontal="center" vertical="center" wrapText="1"/>
    </xf>
    <xf numFmtId="0" fontId="166" fillId="51" borderId="131" xfId="0" applyFont="1" applyFill="1" applyBorder="1" applyAlignment="1">
      <alignment horizontal="center" vertical="center" wrapText="1"/>
    </xf>
    <xf numFmtId="0" fontId="166" fillId="51" borderId="0" xfId="0" applyFont="1" applyFill="1" applyBorder="1" applyAlignment="1">
      <alignment horizontal="center" vertical="center" wrapText="1"/>
    </xf>
    <xf numFmtId="0" fontId="166" fillId="51" borderId="66" xfId="0" applyFont="1" applyFill="1" applyBorder="1" applyAlignment="1">
      <alignment horizontal="center" vertical="center" wrapText="1"/>
    </xf>
    <xf numFmtId="0" fontId="166" fillId="51" borderId="154" xfId="0" applyFont="1" applyFill="1" applyBorder="1" applyAlignment="1">
      <alignment horizontal="center" vertical="center" wrapText="1"/>
    </xf>
    <xf numFmtId="0" fontId="166" fillId="51" borderId="138" xfId="0" applyFont="1" applyFill="1" applyBorder="1" applyAlignment="1">
      <alignment horizontal="center" vertical="center" wrapText="1"/>
    </xf>
    <xf numFmtId="0" fontId="166" fillId="51" borderId="144" xfId="0" applyFont="1" applyFill="1" applyBorder="1" applyAlignment="1">
      <alignment horizontal="center" vertical="center" wrapText="1"/>
    </xf>
    <xf numFmtId="0" fontId="122" fillId="0" borderId="149" xfId="0" applyFont="1" applyBorder="1" applyAlignment="1">
      <alignment horizontal="left" vertical="center" wrapText="1"/>
    </xf>
    <xf numFmtId="0" fontId="1" fillId="50" borderId="2" xfId="0" applyFont="1" applyFill="1" applyBorder="1" applyAlignment="1">
      <alignment horizontal="left" wrapText="1"/>
    </xf>
    <xf numFmtId="0" fontId="0" fillId="50" borderId="2" xfId="0" applyFont="1" applyFill="1" applyBorder="1" applyAlignment="1">
      <alignment horizontal="left" wrapText="1"/>
    </xf>
    <xf numFmtId="175" fontId="0" fillId="51" borderId="2" xfId="0" applyNumberFormat="1" applyFont="1" applyFill="1" applyBorder="1" applyAlignment="1" applyProtection="1">
      <alignment horizontal="center" vertical="center"/>
      <protection locked="0"/>
    </xf>
    <xf numFmtId="0" fontId="21" fillId="0" borderId="147" xfId="0" applyFont="1" applyBorder="1" applyAlignment="1">
      <alignment horizontal="center" vertical="center"/>
    </xf>
    <xf numFmtId="0" fontId="21" fillId="0" borderId="146" xfId="0" applyFont="1" applyBorder="1" applyAlignment="1">
      <alignment horizontal="center" vertical="center"/>
    </xf>
    <xf numFmtId="186" fontId="21" fillId="0" borderId="147" xfId="0" applyNumberFormat="1" applyFont="1" applyBorder="1" applyAlignment="1">
      <alignment horizontal="center" vertical="center"/>
    </xf>
    <xf numFmtId="186" fontId="21" fillId="0" borderId="146" xfId="0" applyNumberFormat="1" applyFont="1" applyBorder="1" applyAlignment="1">
      <alignment horizontal="center" vertical="center"/>
    </xf>
    <xf numFmtId="0" fontId="1" fillId="0" borderId="147" xfId="0" applyFont="1" applyBorder="1" applyAlignment="1">
      <alignment horizontal="left" wrapText="1"/>
    </xf>
    <xf numFmtId="0" fontId="1" fillId="0" borderId="146" xfId="0" applyFont="1" applyBorder="1" applyAlignment="1">
      <alignment horizontal="left" wrapText="1"/>
    </xf>
    <xf numFmtId="0" fontId="136" fillId="50" borderId="44" xfId="5" applyFont="1" applyFill="1" applyBorder="1" applyAlignment="1">
      <alignment horizontal="left" wrapText="1" readingOrder="1"/>
    </xf>
    <xf numFmtId="0" fontId="136" fillId="50" borderId="146" xfId="5" applyFont="1" applyFill="1" applyBorder="1" applyAlignment="1">
      <alignment horizontal="left" wrapText="1" readingOrder="1"/>
    </xf>
    <xf numFmtId="0" fontId="121" fillId="0" borderId="135" xfId="0" applyFont="1" applyBorder="1" applyAlignment="1">
      <alignment horizontal="left" wrapText="1"/>
    </xf>
    <xf numFmtId="0" fontId="115" fillId="49" borderId="129" xfId="0" applyFont="1" applyFill="1" applyBorder="1" applyAlignment="1">
      <alignment horizontal="left" wrapText="1"/>
    </xf>
    <xf numFmtId="0" fontId="116" fillId="0" borderId="130" xfId="0" applyFont="1" applyBorder="1" applyAlignment="1">
      <alignment horizontal="center" vertical="center"/>
    </xf>
    <xf numFmtId="0" fontId="117" fillId="50" borderId="84" xfId="0" applyFont="1" applyFill="1" applyBorder="1" applyAlignment="1">
      <alignment horizontal="center" vertical="center" wrapText="1"/>
    </xf>
    <xf numFmtId="0" fontId="118" fillId="42" borderId="156" xfId="0" applyFont="1" applyFill="1" applyBorder="1" applyAlignment="1">
      <alignment horizontal="center" vertical="center" wrapText="1"/>
    </xf>
    <xf numFmtId="0" fontId="118" fillId="42" borderId="149" xfId="0" applyFont="1" applyFill="1" applyBorder="1" applyAlignment="1">
      <alignment horizontal="center" vertical="center" wrapText="1"/>
    </xf>
    <xf numFmtId="0" fontId="125" fillId="50" borderId="153" xfId="0" applyFont="1" applyFill="1" applyBorder="1" applyAlignment="1">
      <alignment horizontal="center" vertical="center" wrapText="1"/>
    </xf>
    <xf numFmtId="0" fontId="125" fillId="50" borderId="143" xfId="0" applyFont="1" applyFill="1" applyBorder="1" applyAlignment="1">
      <alignment horizontal="center" vertical="center" wrapText="1"/>
    </xf>
    <xf numFmtId="0" fontId="125" fillId="50" borderId="131" xfId="0" applyFont="1" applyFill="1" applyBorder="1" applyAlignment="1">
      <alignment horizontal="center" vertical="center" wrapText="1"/>
    </xf>
    <xf numFmtId="0" fontId="125" fillId="50" borderId="0" xfId="0" applyFont="1" applyFill="1" applyBorder="1" applyAlignment="1">
      <alignment horizontal="center" vertical="center" wrapText="1"/>
    </xf>
    <xf numFmtId="0" fontId="125" fillId="50" borderId="154" xfId="0" applyFont="1" applyFill="1" applyBorder="1" applyAlignment="1">
      <alignment horizontal="center" vertical="center" wrapText="1"/>
    </xf>
    <xf numFmtId="0" fontId="125" fillId="50" borderId="138" xfId="0" applyFont="1" applyFill="1" applyBorder="1" applyAlignment="1">
      <alignment horizontal="center" vertical="center" wrapText="1"/>
    </xf>
    <xf numFmtId="0" fontId="128" fillId="0" borderId="145" xfId="0" applyFont="1" applyBorder="1" applyAlignment="1">
      <alignment horizontal="center" wrapText="1"/>
    </xf>
    <xf numFmtId="0" fontId="0" fillId="0" borderId="131" xfId="0" applyFont="1" applyBorder="1" applyAlignment="1">
      <alignment horizontal="center" vertical="center"/>
    </xf>
    <xf numFmtId="0" fontId="128" fillId="0" borderId="146" xfId="0" applyFont="1" applyBorder="1" applyAlignment="1">
      <alignment horizontal="right" wrapText="1"/>
    </xf>
    <xf numFmtId="0" fontId="128" fillId="0" borderId="132" xfId="0" applyFont="1" applyBorder="1" applyAlignment="1">
      <alignment horizontal="right" wrapText="1"/>
    </xf>
    <xf numFmtId="0" fontId="0" fillId="0" borderId="2" xfId="0" applyFont="1" applyBorder="1" applyAlignment="1">
      <alignment horizontal="left" vertical="center"/>
    </xf>
    <xf numFmtId="0" fontId="0" fillId="20" borderId="147" xfId="0" applyFont="1" applyFill="1" applyBorder="1" applyAlignment="1" applyProtection="1">
      <alignment horizontal="center"/>
      <protection locked="0"/>
    </xf>
    <xf numFmtId="0" fontId="0" fillId="20" borderId="146" xfId="0" applyFont="1" applyFill="1" applyBorder="1" applyAlignment="1" applyProtection="1">
      <alignment horizontal="center"/>
      <protection locked="0"/>
    </xf>
    <xf numFmtId="174" fontId="1" fillId="0" borderId="147" xfId="0" applyNumberFormat="1" applyFont="1" applyFill="1" applyBorder="1" applyAlignment="1">
      <alignment horizontal="center"/>
    </xf>
    <xf numFmtId="174" fontId="0" fillId="0" borderId="146" xfId="0" applyNumberFormat="1" applyFont="1" applyFill="1" applyBorder="1" applyAlignment="1">
      <alignment horizontal="center"/>
    </xf>
    <xf numFmtId="0" fontId="117" fillId="0" borderId="147" xfId="0" applyFont="1" applyBorder="1" applyAlignment="1">
      <alignment horizontal="right"/>
    </xf>
    <xf numFmtId="0" fontId="124" fillId="0" borderId="140" xfId="0" applyFont="1" applyBorder="1" applyAlignment="1">
      <alignment horizontal="center" vertical="center"/>
    </xf>
    <xf numFmtId="0" fontId="6" fillId="37" borderId="153" xfId="0" applyFont="1" applyFill="1" applyBorder="1" applyAlignment="1" applyProtection="1">
      <alignment horizontal="left" vertical="center" wrapText="1"/>
    </xf>
    <xf numFmtId="0" fontId="26" fillId="37" borderId="136" xfId="0" applyFont="1" applyFill="1" applyBorder="1" applyAlignment="1">
      <alignment horizontal="left" vertical="center" wrapText="1"/>
    </xf>
    <xf numFmtId="164" fontId="5" fillId="37" borderId="145" xfId="0" applyNumberFormat="1" applyFont="1" applyFill="1" applyBorder="1" applyAlignment="1" applyProtection="1">
      <alignment horizontal="right" vertical="center"/>
      <protection hidden="1"/>
    </xf>
    <xf numFmtId="0" fontId="0" fillId="37" borderId="75" xfId="0" applyFill="1" applyBorder="1" applyAlignment="1">
      <alignment vertical="center"/>
    </xf>
    <xf numFmtId="164" fontId="157" fillId="37" borderId="51" xfId="2" applyNumberFormat="1" applyFont="1" applyFill="1" applyBorder="1" applyAlignment="1" applyProtection="1">
      <alignment horizontal="center" vertical="center" wrapText="1"/>
    </xf>
    <xf numFmtId="0" fontId="157" fillId="37" borderId="53" xfId="2" applyFont="1" applyFill="1" applyBorder="1" applyAlignment="1">
      <alignment horizontal="center" vertical="center" wrapText="1"/>
    </xf>
    <xf numFmtId="0" fontId="157" fillId="37" borderId="41" xfId="2" applyFont="1" applyFill="1" applyBorder="1" applyAlignment="1">
      <alignment horizontal="center" vertical="center" wrapText="1"/>
    </xf>
    <xf numFmtId="0" fontId="157" fillId="37" borderId="75" xfId="2" applyFont="1" applyFill="1" applyBorder="1" applyAlignment="1">
      <alignment horizontal="center" vertical="center" wrapText="1"/>
    </xf>
    <xf numFmtId="164" fontId="172" fillId="48" borderId="145" xfId="0" applyNumberFormat="1" applyFont="1" applyFill="1" applyBorder="1" applyAlignment="1" applyProtection="1">
      <alignment horizontal="right" vertical="center"/>
      <protection hidden="1"/>
    </xf>
    <xf numFmtId="0" fontId="173" fillId="0" borderId="75" xfId="0" applyFont="1" applyBorder="1" applyAlignment="1"/>
    <xf numFmtId="164" fontId="156" fillId="48" borderId="51" xfId="2" applyNumberFormat="1" applyFont="1" applyFill="1" applyBorder="1" applyAlignment="1" applyProtection="1">
      <alignment horizontal="center" vertical="center" wrapText="1"/>
    </xf>
    <xf numFmtId="0" fontId="156" fillId="48" borderId="53" xfId="2" applyFont="1" applyFill="1" applyBorder="1" applyAlignment="1">
      <alignment horizontal="center" vertical="center" wrapText="1"/>
    </xf>
    <xf numFmtId="0" fontId="156" fillId="48" borderId="41" xfId="2" applyFont="1" applyFill="1" applyBorder="1" applyAlignment="1">
      <alignment horizontal="center" vertical="center" wrapText="1"/>
    </xf>
    <xf numFmtId="0" fontId="156" fillId="48" borderId="75" xfId="2" applyFont="1" applyFill="1" applyBorder="1" applyAlignment="1">
      <alignment horizontal="center" vertical="center" wrapText="1"/>
    </xf>
    <xf numFmtId="0" fontId="6" fillId="22" borderId="153" xfId="0" applyFont="1" applyFill="1" applyBorder="1" applyAlignment="1" applyProtection="1">
      <alignment horizontal="left" vertical="center" wrapText="1"/>
    </xf>
    <xf numFmtId="0" fontId="26" fillId="0" borderId="136" xfId="0" applyFont="1" applyBorder="1" applyAlignment="1">
      <alignment horizontal="left" vertical="center" wrapText="1"/>
    </xf>
    <xf numFmtId="164" fontId="5" fillId="22" borderId="145" xfId="0" applyNumberFormat="1" applyFont="1" applyFill="1" applyBorder="1" applyAlignment="1" applyProtection="1">
      <alignment horizontal="right" vertical="center"/>
      <protection hidden="1"/>
    </xf>
    <xf numFmtId="0" fontId="0" fillId="0" borderId="75" xfId="0" applyBorder="1" applyAlignment="1">
      <alignment vertical="center"/>
    </xf>
    <xf numFmtId="164" fontId="156" fillId="22" borderId="51" xfId="2" applyNumberFormat="1" applyFont="1" applyFill="1" applyBorder="1" applyAlignment="1" applyProtection="1">
      <alignment horizontal="center" vertical="center" wrapText="1"/>
    </xf>
    <xf numFmtId="0" fontId="156" fillId="22" borderId="53" xfId="2" applyFont="1" applyFill="1" applyBorder="1" applyAlignment="1">
      <alignment horizontal="center" vertical="center" wrapText="1"/>
    </xf>
    <xf numFmtId="0" fontId="156" fillId="22" borderId="41" xfId="2" applyFont="1" applyFill="1" applyBorder="1" applyAlignment="1">
      <alignment horizontal="center" vertical="center" wrapText="1"/>
    </xf>
    <xf numFmtId="0" fontId="156" fillId="22" borderId="75" xfId="2" applyFont="1" applyFill="1" applyBorder="1" applyAlignment="1">
      <alignment horizontal="center" vertical="center" wrapText="1"/>
    </xf>
    <xf numFmtId="0" fontId="102" fillId="46" borderId="13" xfId="0" applyFont="1" applyFill="1" applyBorder="1" applyAlignment="1">
      <alignment horizontal="center" vertical="center"/>
    </xf>
    <xf numFmtId="0" fontId="103" fillId="46" borderId="14" xfId="0" applyFont="1" applyFill="1" applyBorder="1" applyAlignment="1"/>
    <xf numFmtId="0" fontId="103" fillId="46" borderId="15" xfId="0" applyFont="1" applyFill="1" applyBorder="1"/>
    <xf numFmtId="0" fontId="104" fillId="38" borderId="67" xfId="0" applyFont="1" applyFill="1" applyBorder="1" applyAlignment="1">
      <alignment horizontal="center" vertical="center"/>
    </xf>
    <xf numFmtId="0" fontId="105" fillId="19" borderId="2" xfId="0" applyFont="1" applyFill="1" applyBorder="1"/>
    <xf numFmtId="0" fontId="105" fillId="19" borderId="8" xfId="0" applyFont="1" applyFill="1" applyBorder="1"/>
    <xf numFmtId="0" fontId="6" fillId="38" borderId="67" xfId="0" applyFont="1" applyFill="1" applyBorder="1" applyAlignment="1">
      <alignment horizontal="center" vertical="center"/>
    </xf>
    <xf numFmtId="0" fontId="17" fillId="19" borderId="8" xfId="0" applyFont="1" applyFill="1" applyBorder="1"/>
    <xf numFmtId="0" fontId="6" fillId="40" borderId="22" xfId="0" applyFont="1" applyFill="1" applyBorder="1" applyAlignment="1">
      <alignment horizontal="right" vertical="center" shrinkToFit="1"/>
    </xf>
    <xf numFmtId="0" fontId="17" fillId="44" borderId="90" xfId="0" applyFont="1" applyFill="1" applyBorder="1"/>
    <xf numFmtId="0" fontId="85" fillId="0" borderId="74" xfId="0" applyFont="1" applyBorder="1" applyAlignment="1" applyProtection="1">
      <alignment horizontal="center"/>
    </xf>
    <xf numFmtId="0" fontId="86" fillId="0" borderId="0" xfId="0" applyFont="1" applyBorder="1" applyAlignment="1">
      <alignment horizontal="center"/>
    </xf>
    <xf numFmtId="164" fontId="85" fillId="0" borderId="51" xfId="0" applyNumberFormat="1" applyFont="1" applyFill="1" applyBorder="1" applyAlignment="1" applyProtection="1">
      <alignment horizontal="center"/>
    </xf>
    <xf numFmtId="0" fontId="86" fillId="0" borderId="52" xfId="0" applyFont="1" applyBorder="1" applyAlignment="1">
      <alignment horizontal="center"/>
    </xf>
    <xf numFmtId="0" fontId="86" fillId="0" borderId="79" xfId="0" applyFont="1" applyBorder="1" applyAlignment="1">
      <alignment horizontal="center"/>
    </xf>
    <xf numFmtId="49" fontId="41" fillId="0" borderId="13" xfId="0" applyNumberFormat="1" applyFont="1" applyFill="1" applyBorder="1" applyAlignment="1">
      <alignment horizontal="right"/>
    </xf>
    <xf numFmtId="0" fontId="0" fillId="0" borderId="14" xfId="0" applyBorder="1" applyAlignment="1">
      <alignment horizontal="right"/>
    </xf>
    <xf numFmtId="164" fontId="5" fillId="37" borderId="51" xfId="2" applyNumberFormat="1" applyFont="1" applyFill="1" applyBorder="1" applyAlignment="1" applyProtection="1">
      <alignment horizontal="center" vertical="center" wrapText="1"/>
    </xf>
    <xf numFmtId="0" fontId="5" fillId="37" borderId="53" xfId="2" applyFont="1" applyFill="1" applyBorder="1" applyAlignment="1">
      <alignment horizontal="center" vertical="center" wrapText="1"/>
    </xf>
    <xf numFmtId="0" fontId="5" fillId="37" borderId="41" xfId="2" applyFont="1" applyFill="1" applyBorder="1" applyAlignment="1">
      <alignment horizontal="center" vertical="center" wrapText="1"/>
    </xf>
    <xf numFmtId="0" fontId="5" fillId="37" borderId="75" xfId="2" applyFont="1" applyFill="1" applyBorder="1" applyAlignment="1">
      <alignment horizontal="center" vertical="center" wrapText="1"/>
    </xf>
    <xf numFmtId="164" fontId="17" fillId="20" borderId="35" xfId="0" applyNumberFormat="1" applyFont="1" applyFill="1" applyBorder="1" applyAlignment="1" applyProtection="1">
      <alignment horizontal="left" shrinkToFit="1"/>
      <protection locked="0"/>
    </xf>
    <xf numFmtId="0" fontId="0" fillId="0" borderId="67" xfId="0" applyBorder="1" applyAlignment="1">
      <alignment horizontal="left"/>
    </xf>
    <xf numFmtId="0" fontId="17" fillId="20" borderId="35" xfId="0" applyNumberFormat="1" applyFont="1" applyFill="1" applyBorder="1" applyAlignment="1" applyProtection="1">
      <alignment horizontal="left"/>
      <protection locked="0"/>
    </xf>
    <xf numFmtId="0" fontId="0" fillId="0" borderId="67" xfId="0" applyNumberFormat="1" applyBorder="1" applyAlignment="1">
      <alignment horizontal="left"/>
    </xf>
    <xf numFmtId="0" fontId="99" fillId="0" borderId="0" xfId="0" applyFont="1" applyBorder="1" applyAlignment="1">
      <alignment horizontal="center" shrinkToFit="1"/>
    </xf>
    <xf numFmtId="0" fontId="100" fillId="0" borderId="0" xfId="0" applyFont="1" applyBorder="1" applyAlignment="1">
      <alignment horizontal="center" shrinkToFit="1"/>
    </xf>
    <xf numFmtId="0" fontId="100" fillId="0" borderId="28" xfId="0" applyFont="1" applyBorder="1" applyAlignment="1">
      <alignment horizontal="center" shrinkToFit="1"/>
    </xf>
    <xf numFmtId="0" fontId="99" fillId="0" borderId="0" xfId="0" applyFont="1" applyBorder="1" applyAlignment="1" applyProtection="1">
      <alignment horizontal="center" shrinkToFit="1"/>
    </xf>
    <xf numFmtId="0" fontId="86" fillId="0" borderId="0" xfId="0" applyFont="1" applyBorder="1" applyAlignment="1">
      <alignment horizontal="center" shrinkToFit="1"/>
    </xf>
    <xf numFmtId="0" fontId="86" fillId="0" borderId="28" xfId="0" applyFont="1" applyBorder="1" applyAlignment="1">
      <alignment horizontal="center" shrinkToFit="1"/>
    </xf>
    <xf numFmtId="164" fontId="5" fillId="37" borderId="53" xfId="0" applyNumberFormat="1" applyFont="1" applyFill="1" applyBorder="1" applyAlignment="1" applyProtection="1">
      <alignment horizontal="right" vertical="center"/>
      <protection hidden="1"/>
    </xf>
    <xf numFmtId="164" fontId="5" fillId="22" borderId="53" xfId="0" applyNumberFormat="1" applyFont="1" applyFill="1" applyBorder="1" applyAlignment="1" applyProtection="1">
      <alignment horizontal="right" vertical="center"/>
      <protection hidden="1"/>
    </xf>
    <xf numFmtId="164" fontId="5" fillId="48" borderId="53" xfId="0" applyNumberFormat="1" applyFont="1" applyFill="1" applyBorder="1" applyAlignment="1" applyProtection="1">
      <alignment horizontal="right" vertical="center"/>
      <protection hidden="1"/>
    </xf>
    <xf numFmtId="0" fontId="0" fillId="0" borderId="75" xfId="0" applyBorder="1" applyAlignment="1"/>
    <xf numFmtId="0" fontId="23" fillId="46" borderId="13" xfId="0" applyFont="1" applyFill="1" applyBorder="1" applyAlignment="1">
      <alignment horizontal="center" vertical="center"/>
    </xf>
    <xf numFmtId="0" fontId="0" fillId="46" borderId="14" xfId="0" applyFill="1" applyBorder="1" applyAlignment="1">
      <alignment horizontal="center" vertical="center"/>
    </xf>
    <xf numFmtId="0" fontId="0" fillId="46" borderId="15" xfId="0" applyFill="1" applyBorder="1" applyAlignment="1">
      <alignment horizontal="center" vertical="center"/>
    </xf>
    <xf numFmtId="0" fontId="30" fillId="4" borderId="17" xfId="0" applyFont="1" applyFill="1" applyBorder="1" applyAlignment="1" applyProtection="1">
      <alignment horizontal="center"/>
      <protection locked="0"/>
    </xf>
    <xf numFmtId="0" fontId="31" fillId="0" borderId="17" xfId="0" applyFont="1" applyBorder="1" applyAlignment="1" applyProtection="1">
      <alignment horizontal="center"/>
      <protection locked="0"/>
    </xf>
    <xf numFmtId="164" fontId="6" fillId="48" borderId="51" xfId="2" applyNumberFormat="1" applyFont="1" applyFill="1" applyBorder="1" applyAlignment="1" applyProtection="1">
      <alignment horizontal="center" vertical="center" wrapText="1"/>
    </xf>
    <xf numFmtId="0" fontId="6" fillId="48" borderId="53" xfId="2" applyFont="1" applyFill="1" applyBorder="1" applyAlignment="1">
      <alignment horizontal="center" vertical="center" wrapText="1"/>
    </xf>
    <xf numFmtId="0" fontId="6" fillId="48" borderId="41" xfId="2" applyFont="1" applyFill="1" applyBorder="1" applyAlignment="1">
      <alignment horizontal="center" vertical="center" wrapText="1"/>
    </xf>
    <xf numFmtId="0" fontId="6" fillId="48" borderId="75" xfId="2" applyFont="1" applyFill="1" applyBorder="1" applyAlignment="1">
      <alignment horizontal="center" vertical="center" wrapText="1"/>
    </xf>
    <xf numFmtId="164" fontId="6" fillId="22" borderId="51" xfId="2" applyNumberFormat="1" applyFont="1" applyFill="1" applyBorder="1" applyAlignment="1" applyProtection="1">
      <alignment horizontal="center" vertical="center" wrapText="1"/>
    </xf>
    <xf numFmtId="0" fontId="6" fillId="22" borderId="53" xfId="2" applyFont="1" applyFill="1" applyBorder="1" applyAlignment="1">
      <alignment horizontal="center" vertical="center" wrapText="1"/>
    </xf>
    <xf numFmtId="0" fontId="6" fillId="22" borderId="41" xfId="2" applyFont="1" applyFill="1" applyBorder="1" applyAlignment="1">
      <alignment horizontal="center" vertical="center" wrapText="1"/>
    </xf>
    <xf numFmtId="0" fontId="6" fillId="22" borderId="75" xfId="2" applyFont="1" applyFill="1" applyBorder="1" applyAlignment="1">
      <alignment horizontal="center" vertical="center" wrapText="1"/>
    </xf>
    <xf numFmtId="0" fontId="0" fillId="0" borderId="0" xfId="0" applyFill="1" applyBorder="1" applyAlignment="1" applyProtection="1">
      <alignment wrapText="1"/>
      <protection hidden="1"/>
    </xf>
    <xf numFmtId="0" fontId="0" fillId="0" borderId="28" xfId="0" applyFill="1" applyBorder="1" applyAlignment="1" applyProtection="1">
      <alignment wrapText="1"/>
      <protection hidden="1"/>
    </xf>
    <xf numFmtId="0" fontId="95" fillId="0" borderId="0" xfId="0" applyFont="1" applyBorder="1" applyAlignment="1" applyProtection="1">
      <alignment horizontal="center" vertical="center" wrapText="1"/>
      <protection hidden="1"/>
    </xf>
    <xf numFmtId="0" fontId="95" fillId="0" borderId="28" xfId="0" applyFont="1" applyBorder="1" applyAlignment="1" applyProtection="1">
      <alignment horizontal="center" vertical="center" wrapText="1"/>
      <protection hidden="1"/>
    </xf>
    <xf numFmtId="0" fontId="13" fillId="46" borderId="18" xfId="0" applyFont="1" applyFill="1" applyBorder="1" applyAlignment="1">
      <alignment horizontal="center" vertical="center"/>
    </xf>
    <xf numFmtId="0" fontId="0" fillId="46" borderId="19" xfId="0" applyFill="1" applyBorder="1" applyAlignment="1">
      <alignment horizontal="center" vertical="center"/>
    </xf>
    <xf numFmtId="0" fontId="0" fillId="46" borderId="20" xfId="0" applyFill="1" applyBorder="1" applyAlignment="1">
      <alignment horizontal="center" vertical="center"/>
    </xf>
    <xf numFmtId="0" fontId="5" fillId="37" borderId="90" xfId="0" applyFont="1" applyFill="1" applyBorder="1" applyAlignment="1" applyProtection="1">
      <alignment vertical="center"/>
    </xf>
    <xf numFmtId="0" fontId="65" fillId="0" borderId="54" xfId="0" applyFont="1" applyBorder="1" applyAlignment="1">
      <alignment vertical="center"/>
    </xf>
    <xf numFmtId="0" fontId="6" fillId="22" borderId="90" xfId="0" applyFont="1" applyFill="1" applyBorder="1" applyAlignment="1" applyProtection="1">
      <alignment horizontal="left" vertical="center" wrapText="1"/>
    </xf>
    <xf numFmtId="0" fontId="26" fillId="0" borderId="54" xfId="0" applyFont="1" applyBorder="1" applyAlignment="1">
      <alignment horizontal="left" vertical="center" wrapText="1"/>
    </xf>
    <xf numFmtId="164" fontId="23" fillId="47" borderId="18" xfId="0" applyNumberFormat="1" applyFont="1" applyFill="1" applyBorder="1" applyAlignment="1" applyProtection="1">
      <alignment horizontal="center" vertical="center"/>
      <protection hidden="1"/>
    </xf>
    <xf numFmtId="0" fontId="0" fillId="47" borderId="19" xfId="0" applyFill="1" applyBorder="1" applyAlignment="1">
      <alignment horizontal="center" vertical="center"/>
    </xf>
    <xf numFmtId="0" fontId="0" fillId="47" borderId="20" xfId="0" applyFill="1" applyBorder="1" applyAlignment="1">
      <alignment horizontal="center" vertical="center"/>
    </xf>
    <xf numFmtId="0" fontId="30" fillId="0" borderId="62" xfId="0" applyNumberFormat="1" applyFont="1" applyFill="1" applyBorder="1" applyAlignment="1" applyProtection="1">
      <alignment horizontal="center"/>
      <protection hidden="1"/>
    </xf>
    <xf numFmtId="0" fontId="31" fillId="0" borderId="62" xfId="0" applyFont="1" applyBorder="1" applyAlignment="1" applyProtection="1">
      <alignment horizontal="center"/>
      <protection hidden="1"/>
    </xf>
    <xf numFmtId="0" fontId="163" fillId="57" borderId="18" xfId="0" applyFont="1" applyFill="1" applyBorder="1" applyAlignment="1" applyProtection="1">
      <alignment horizontal="center" vertical="center"/>
      <protection hidden="1"/>
    </xf>
    <xf numFmtId="0" fontId="0" fillId="57" borderId="19" xfId="0" applyFill="1" applyBorder="1" applyAlignment="1">
      <alignment horizontal="center"/>
    </xf>
    <xf numFmtId="0" fontId="0" fillId="57" borderId="20" xfId="0" applyFill="1" applyBorder="1" applyAlignment="1">
      <alignment horizontal="center"/>
    </xf>
    <xf numFmtId="0" fontId="23" fillId="47" borderId="18" xfId="0" applyFont="1" applyFill="1" applyBorder="1" applyAlignment="1" applyProtection="1">
      <alignment horizontal="center" vertical="center"/>
      <protection hidden="1"/>
    </xf>
    <xf numFmtId="0" fontId="9" fillId="28" borderId="154" xfId="0" applyFont="1" applyFill="1" applyBorder="1" applyAlignment="1" applyProtection="1">
      <alignment horizontal="center"/>
      <protection hidden="1"/>
    </xf>
    <xf numFmtId="0" fontId="9" fillId="28" borderId="138" xfId="0" applyFont="1" applyFill="1" applyBorder="1" applyAlignment="1" applyProtection="1">
      <alignment horizontal="center"/>
      <protection hidden="1"/>
    </xf>
    <xf numFmtId="0" fontId="9" fillId="28" borderId="144" xfId="0" applyFont="1" applyFill="1" applyBorder="1" applyAlignment="1" applyProtection="1">
      <alignment horizontal="center"/>
      <protection hidden="1"/>
    </xf>
    <xf numFmtId="0" fontId="71" fillId="37" borderId="13" xfId="0" applyFont="1" applyFill="1" applyBorder="1" applyAlignment="1">
      <alignment horizontal="left" vertical="center"/>
    </xf>
    <xf numFmtId="0" fontId="71" fillId="37" borderId="14" xfId="0" applyFont="1" applyFill="1" applyBorder="1" applyAlignment="1">
      <alignment horizontal="left" vertical="center"/>
    </xf>
    <xf numFmtId="0" fontId="71" fillId="37" borderId="15" xfId="0" applyFont="1" applyFill="1" applyBorder="1" applyAlignment="1">
      <alignment horizontal="left" vertical="center"/>
    </xf>
    <xf numFmtId="0" fontId="30" fillId="0" borderId="17" xfId="0" applyNumberFormat="1" applyFont="1" applyFill="1" applyBorder="1" applyAlignment="1" applyProtection="1">
      <alignment horizontal="center"/>
      <protection hidden="1"/>
    </xf>
    <xf numFmtId="0" fontId="31" fillId="0" borderId="17" xfId="0" applyFont="1" applyFill="1" applyBorder="1" applyAlignment="1" applyProtection="1">
      <alignment horizontal="center"/>
      <protection hidden="1"/>
    </xf>
    <xf numFmtId="164" fontId="28" fillId="0" borderId="19" xfId="0" applyNumberFormat="1" applyFont="1" applyFill="1"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35" fillId="7" borderId="18" xfId="0" applyFont="1" applyFill="1" applyBorder="1" applyAlignment="1" applyProtection="1">
      <alignment horizontal="left" vertical="center"/>
      <protection hidden="1"/>
    </xf>
    <xf numFmtId="0" fontId="72" fillId="0" borderId="19" xfId="0" applyFont="1" applyBorder="1" applyAlignment="1">
      <alignment horizontal="left" vertical="center"/>
    </xf>
    <xf numFmtId="0" fontId="72" fillId="0" borderId="20" xfId="0" applyFont="1" applyBorder="1" applyAlignment="1">
      <alignment horizontal="left" vertical="center"/>
    </xf>
    <xf numFmtId="164" fontId="28" fillId="0" borderId="70" xfId="0" applyNumberFormat="1" applyFont="1" applyFill="1" applyBorder="1" applyAlignment="1" applyProtection="1">
      <alignment horizontal="center" vertical="center"/>
      <protection hidden="1"/>
    </xf>
    <xf numFmtId="0" fontId="78" fillId="0" borderId="70" xfId="0" applyFont="1" applyBorder="1" applyAlignment="1">
      <alignment horizontal="center" vertical="center"/>
    </xf>
    <xf numFmtId="0" fontId="78" fillId="0" borderId="46" xfId="0" applyFont="1" applyBorder="1" applyAlignment="1">
      <alignment horizontal="center" vertical="center"/>
    </xf>
    <xf numFmtId="0" fontId="13" fillId="22" borderId="18" xfId="0" applyFont="1" applyFill="1" applyBorder="1" applyAlignment="1" applyProtection="1">
      <alignment horizontal="center" vertical="center"/>
      <protection hidden="1"/>
    </xf>
    <xf numFmtId="0" fontId="158" fillId="22" borderId="19" xfId="0" applyFont="1" applyFill="1" applyBorder="1" applyAlignment="1">
      <alignment horizontal="center" vertical="center"/>
    </xf>
    <xf numFmtId="0" fontId="158" fillId="22" borderId="20" xfId="0" applyFont="1" applyFill="1" applyBorder="1" applyAlignment="1">
      <alignment horizontal="center" vertical="center"/>
    </xf>
    <xf numFmtId="0" fontId="67" fillId="0" borderId="17" xfId="0" applyFont="1" applyBorder="1" applyAlignment="1" applyProtection="1">
      <alignment horizontal="center" vertical="center"/>
      <protection hidden="1"/>
    </xf>
    <xf numFmtId="0" fontId="95" fillId="0" borderId="17" xfId="0" applyFont="1" applyBorder="1" applyAlignment="1">
      <alignment horizontal="center" vertical="center"/>
    </xf>
    <xf numFmtId="0" fontId="95" fillId="0" borderId="32" xfId="0" applyFont="1" applyBorder="1" applyAlignment="1">
      <alignment horizontal="center" vertical="center"/>
    </xf>
    <xf numFmtId="0" fontId="6" fillId="0" borderId="17" xfId="0" applyFont="1" applyBorder="1" applyAlignment="1" applyProtection="1">
      <alignment horizontal="center" vertical="center"/>
      <protection hidden="1"/>
    </xf>
    <xf numFmtId="0" fontId="21" fillId="0" borderId="17" xfId="0" applyFont="1" applyBorder="1" applyAlignment="1">
      <alignment horizontal="center" vertical="center"/>
    </xf>
    <xf numFmtId="0" fontId="21" fillId="0" borderId="32" xfId="0" applyFont="1" applyBorder="1" applyAlignment="1">
      <alignment horizontal="center" vertical="center"/>
    </xf>
    <xf numFmtId="0" fontId="47" fillId="0" borderId="17" xfId="0" applyFont="1" applyBorder="1" applyAlignment="1" applyProtection="1">
      <alignment horizontal="center" vertical="center"/>
      <protection hidden="1"/>
    </xf>
    <xf numFmtId="0" fontId="24" fillId="0" borderId="17" xfId="0" applyFont="1" applyBorder="1" applyAlignment="1">
      <alignment horizontal="center" vertical="center"/>
    </xf>
    <xf numFmtId="0" fontId="24" fillId="0" borderId="32" xfId="0" applyFont="1" applyBorder="1" applyAlignment="1">
      <alignment horizontal="center" vertical="center"/>
    </xf>
    <xf numFmtId="0" fontId="35" fillId="56" borderId="18" xfId="0" applyFont="1" applyFill="1" applyBorder="1" applyAlignment="1" applyProtection="1">
      <alignment horizontal="center" vertical="center"/>
      <protection hidden="1"/>
    </xf>
    <xf numFmtId="0" fontId="0" fillId="56" borderId="19" xfId="0" applyFill="1" applyBorder="1" applyAlignment="1">
      <alignment horizontal="center"/>
    </xf>
    <xf numFmtId="0" fontId="0" fillId="56" borderId="20" xfId="0" applyFill="1" applyBorder="1" applyAlignment="1">
      <alignment horizontal="center"/>
    </xf>
    <xf numFmtId="0" fontId="0" fillId="47" borderId="14" xfId="0" applyFill="1" applyBorder="1" applyAlignment="1">
      <alignment horizontal="center" vertical="center"/>
    </xf>
    <xf numFmtId="0" fontId="0" fillId="47" borderId="15" xfId="0" applyFill="1" applyBorder="1" applyAlignment="1">
      <alignment horizontal="center" vertical="center"/>
    </xf>
    <xf numFmtId="0" fontId="87" fillId="0" borderId="0" xfId="0" applyNumberFormat="1" applyFont="1" applyFill="1" applyBorder="1" applyAlignment="1" applyProtection="1">
      <alignment horizontal="center"/>
      <protection hidden="1"/>
    </xf>
    <xf numFmtId="0" fontId="30" fillId="20" borderId="55" xfId="0" applyNumberFormat="1" applyFont="1" applyFill="1" applyBorder="1" applyAlignment="1" applyProtection="1">
      <alignment horizontal="center"/>
      <protection locked="0"/>
    </xf>
    <xf numFmtId="0" fontId="31" fillId="20" borderId="55" xfId="0" applyFont="1" applyFill="1" applyBorder="1" applyAlignment="1" applyProtection="1">
      <alignment horizontal="center"/>
      <protection locked="0"/>
    </xf>
    <xf numFmtId="0" fontId="35" fillId="7" borderId="13" xfId="0" applyFont="1" applyFill="1" applyBorder="1" applyAlignment="1" applyProtection="1">
      <alignment horizontal="center" vertical="center"/>
      <protection hidden="1"/>
    </xf>
    <xf numFmtId="0" fontId="0" fillId="0" borderId="14" xfId="0" applyBorder="1" applyAlignment="1">
      <alignment horizontal="center"/>
    </xf>
    <xf numFmtId="0" fontId="0" fillId="0" borderId="15" xfId="0" applyBorder="1" applyAlignment="1">
      <alignment horizontal="center"/>
    </xf>
    <xf numFmtId="0" fontId="5" fillId="0" borderId="34" xfId="0" applyFont="1" applyFill="1" applyBorder="1" applyAlignment="1" applyProtection="1">
      <alignment horizontal="center" vertical="center" wrapText="1"/>
      <protection hidden="1"/>
    </xf>
    <xf numFmtId="0" fontId="65" fillId="0" borderId="70" xfId="0" applyFont="1" applyBorder="1" applyAlignment="1">
      <alignment horizontal="center" vertical="center"/>
    </xf>
    <xf numFmtId="0" fontId="0" fillId="0" borderId="46" xfId="0" applyBorder="1" applyAlignment="1">
      <alignment horizontal="center" vertical="center"/>
    </xf>
    <xf numFmtId="0" fontId="71" fillId="26" borderId="13" xfId="0" applyFont="1" applyFill="1" applyBorder="1" applyAlignment="1">
      <alignment horizontal="left" vertical="center"/>
    </xf>
    <xf numFmtId="0" fontId="71" fillId="26" borderId="14" xfId="0" applyFont="1" applyFill="1" applyBorder="1" applyAlignment="1">
      <alignment horizontal="left" vertical="center"/>
    </xf>
    <xf numFmtId="0" fontId="71" fillId="26" borderId="15" xfId="0" applyFont="1" applyFill="1" applyBorder="1" applyAlignment="1">
      <alignment horizontal="left" vertical="center"/>
    </xf>
    <xf numFmtId="0" fontId="35" fillId="47" borderId="18" xfId="0" applyFont="1" applyFill="1" applyBorder="1" applyAlignment="1" applyProtection="1">
      <alignment horizontal="center" vertical="center"/>
      <protection hidden="1"/>
    </xf>
    <xf numFmtId="0" fontId="0" fillId="47" borderId="19" xfId="0" applyFill="1" applyBorder="1" applyAlignment="1">
      <alignment horizontal="center"/>
    </xf>
    <xf numFmtId="0" fontId="0" fillId="47" borderId="20" xfId="0" applyFill="1" applyBorder="1" applyAlignment="1">
      <alignment horizontal="center"/>
    </xf>
    <xf numFmtId="0" fontId="35" fillId="7" borderId="18" xfId="0" applyFont="1" applyFill="1" applyBorder="1" applyAlignment="1" applyProtection="1">
      <alignment horizontal="center" vertical="center"/>
      <protection hidden="1"/>
    </xf>
    <xf numFmtId="0" fontId="0" fillId="0" borderId="19" xfId="0" applyBorder="1" applyAlignment="1">
      <alignment horizontal="center"/>
    </xf>
    <xf numFmtId="0" fontId="0" fillId="0" borderId="20" xfId="0" applyBorder="1" applyAlignment="1">
      <alignment horizontal="center"/>
    </xf>
    <xf numFmtId="0" fontId="30" fillId="0" borderId="55" xfId="0" applyFont="1" applyFill="1" applyBorder="1" applyAlignment="1" applyProtection="1">
      <alignment horizontal="center"/>
      <protection hidden="1"/>
    </xf>
    <xf numFmtId="0" fontId="31" fillId="0" borderId="55" xfId="0" applyFont="1" applyFill="1" applyBorder="1" applyAlignment="1" applyProtection="1">
      <alignment horizontal="center"/>
      <protection hidden="1"/>
    </xf>
    <xf numFmtId="14" fontId="24" fillId="0" borderId="0" xfId="0" applyNumberFormat="1" applyFont="1" applyAlignment="1">
      <alignment horizontal="center"/>
    </xf>
    <xf numFmtId="0" fontId="18" fillId="0" borderId="0" xfId="0" applyFont="1" applyAlignment="1"/>
    <xf numFmtId="9" fontId="52" fillId="0" borderId="63" xfId="0" applyNumberFormat="1" applyFont="1" applyBorder="1" applyAlignment="1">
      <alignment horizontal="center" vertical="center"/>
    </xf>
    <xf numFmtId="166" fontId="52" fillId="0" borderId="63" xfId="0" applyNumberFormat="1" applyFont="1" applyBorder="1" applyAlignment="1">
      <alignment horizontal="center" vertical="center"/>
    </xf>
    <xf numFmtId="0" fontId="50" fillId="0" borderId="59" xfId="0" applyFont="1" applyBorder="1"/>
    <xf numFmtId="9" fontId="52" fillId="0" borderId="64" xfId="0" applyNumberFormat="1" applyFont="1" applyBorder="1" applyAlignment="1">
      <alignment horizontal="center" vertical="center"/>
    </xf>
    <xf numFmtId="9" fontId="52" fillId="0" borderId="65" xfId="0" applyNumberFormat="1" applyFont="1" applyBorder="1" applyAlignment="1">
      <alignment horizontal="center" vertical="center"/>
    </xf>
    <xf numFmtId="166" fontId="52" fillId="0" borderId="64" xfId="0" applyNumberFormat="1" applyFont="1" applyBorder="1" applyAlignment="1">
      <alignment horizontal="center" vertical="center"/>
    </xf>
    <xf numFmtId="166" fontId="52" fillId="0" borderId="65" xfId="0" applyNumberFormat="1" applyFont="1" applyBorder="1" applyAlignment="1">
      <alignment horizontal="center" vertical="center"/>
    </xf>
    <xf numFmtId="0" fontId="30" fillId="0" borderId="17"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cellXfs>
  <cellStyles count="6">
    <cellStyle name="Erklärender Text" xfId="5" builtinId="53"/>
    <cellStyle name="Euro" xfId="1"/>
    <cellStyle name="Hyperlink" xfId="2" builtinId="8"/>
    <cellStyle name="Prozent" xfId="4" builtinId="5"/>
    <cellStyle name="Standard" xfId="0" builtinId="0"/>
    <cellStyle name="Währung" xfId="3" builtinId="4"/>
  </cellStyles>
  <dxfs count="33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42"/>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42"/>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51"/>
      </font>
    </dxf>
    <dxf>
      <font>
        <condense val="0"/>
        <extend val="0"/>
        <color indexed="14"/>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42"/>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theme="9" tint="0.39994506668294322"/>
        </patternFill>
      </fill>
    </dxf>
    <dxf>
      <fill>
        <patternFill>
          <bgColor theme="9" tint="0.39994506668294322"/>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2"/>
      </font>
    </dxf>
    <dxf>
      <font>
        <condense val="0"/>
        <extend val="0"/>
        <color indexed="9"/>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42"/>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lor theme="1"/>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42"/>
      </font>
    </dxf>
    <dxf>
      <font>
        <condense val="0"/>
        <extend val="0"/>
        <color indexed="22"/>
      </font>
    </dxf>
    <dxf>
      <font>
        <condense val="0"/>
        <extend val="0"/>
        <color indexed="9"/>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99CC"/>
        </patternFill>
      </fill>
    </dxf>
    <dxf>
      <fill>
        <patternFill>
          <bgColor indexed="45"/>
        </patternFill>
      </fill>
    </dxf>
    <dxf>
      <font>
        <condense val="0"/>
        <extend val="0"/>
        <color auto="1"/>
      </font>
      <fill>
        <patternFill>
          <bgColor indexed="45"/>
        </patternFill>
      </fill>
    </dxf>
    <dxf>
      <font>
        <condense val="0"/>
        <extend val="0"/>
        <color auto="1"/>
      </font>
      <fill>
        <patternFill>
          <bgColor indexed="45"/>
        </patternFill>
      </fill>
    </dxf>
    <dxf>
      <fill>
        <patternFill>
          <bgColor theme="6" tint="0.39994506668294322"/>
        </patternFill>
      </fill>
    </dxf>
    <dxf>
      <fill>
        <patternFill>
          <bgColor theme="6" tint="0.39994506668294322"/>
        </patternFill>
      </fill>
    </dxf>
    <dxf>
      <font>
        <condense val="0"/>
        <extend val="0"/>
        <color indexed="9"/>
      </font>
    </dxf>
    <dxf>
      <font>
        <condense val="0"/>
        <extend val="0"/>
        <color auto="1"/>
      </font>
      <fill>
        <patternFill>
          <bgColor theme="6" tint="0.39994506668294322"/>
        </patternFill>
      </fill>
    </dxf>
    <dxf>
      <fill>
        <patternFill>
          <bgColor indexed="45"/>
        </patternFill>
      </fill>
    </dxf>
    <dxf>
      <font>
        <condense val="0"/>
        <extend val="0"/>
        <color indexed="22"/>
      </font>
    </dxf>
    <dxf>
      <fill>
        <patternFill>
          <bgColor rgb="FFFF5050"/>
        </patternFill>
      </fill>
    </dxf>
    <dxf>
      <font>
        <condense val="0"/>
        <extend val="0"/>
        <color indexed="9"/>
      </font>
    </dxf>
    <dxf>
      <font>
        <condense val="0"/>
        <extend val="0"/>
        <color indexed="9"/>
      </font>
    </dxf>
    <dxf>
      <font>
        <condense val="0"/>
        <extend val="0"/>
        <color indexed="9"/>
      </font>
    </dxf>
    <dxf>
      <font>
        <color theme="1"/>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22"/>
      </font>
    </dxf>
    <dxf>
      <font>
        <condense val="0"/>
        <extend val="0"/>
        <color indexed="9"/>
      </font>
    </dxf>
    <dxf>
      <fill>
        <patternFill>
          <bgColor rgb="FFFF99CC"/>
        </patternFill>
      </fill>
    </dxf>
    <dxf>
      <fill>
        <patternFill>
          <bgColor indexed="45"/>
        </patternFill>
      </fill>
    </dxf>
    <dxf>
      <font>
        <condense val="0"/>
        <extend val="0"/>
        <color auto="1"/>
      </font>
      <fill>
        <patternFill>
          <bgColor indexed="45"/>
        </patternFill>
      </fill>
    </dxf>
    <dxf>
      <font>
        <condense val="0"/>
        <extend val="0"/>
        <color auto="1"/>
      </font>
      <fill>
        <patternFill>
          <bgColor indexed="45"/>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indexed="9"/>
      </font>
    </dxf>
    <dxf>
      <font>
        <condense val="0"/>
        <extend val="0"/>
        <color indexed="9"/>
      </font>
    </dxf>
    <dxf>
      <font>
        <condense val="0"/>
        <extend val="0"/>
        <color indexed="9"/>
      </font>
    </dxf>
    <dxf>
      <font>
        <color theme="1"/>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42"/>
      </font>
    </dxf>
    <dxf>
      <font>
        <condense val="0"/>
        <extend val="0"/>
        <color indexed="22"/>
      </font>
    </dxf>
    <dxf>
      <font>
        <condense val="0"/>
        <extend val="0"/>
        <color indexed="9"/>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CCFFCC"/>
        </patternFill>
      </fill>
    </dxf>
    <dxf>
      <fill>
        <patternFill>
          <bgColor rgb="FFCCFFCC"/>
        </patternFill>
      </fill>
    </dxf>
    <dxf>
      <fill>
        <patternFill>
          <bgColor theme="6" tint="0.59996337778862885"/>
        </patternFill>
      </fill>
    </dxf>
    <dxf>
      <fill>
        <patternFill>
          <bgColor rgb="FFCCFF99"/>
        </patternFill>
      </fill>
    </dxf>
    <dxf>
      <fill>
        <patternFill>
          <bgColor rgb="FFCCFF99"/>
        </patternFill>
      </fill>
    </dxf>
    <dxf>
      <fill>
        <patternFill>
          <bgColor rgb="FFCCFFFF"/>
        </patternFill>
      </fill>
    </dxf>
    <dxf>
      <fill>
        <patternFill>
          <bgColor rgb="FFCCFFFF"/>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theme="9" tint="0.39994506668294322"/>
        </patternFill>
      </fill>
    </dxf>
    <dxf>
      <fill>
        <patternFill>
          <bgColor theme="9" tint="0.39994506668294322"/>
        </patternFill>
      </fill>
    </dxf>
    <dxf>
      <fill>
        <patternFill>
          <bgColor rgb="FF99CCFF"/>
        </patternFill>
      </fill>
    </dxf>
    <dxf>
      <fill>
        <patternFill>
          <bgColor rgb="FF99CC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66FFFF"/>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ont>
        <b/>
        <i val="0"/>
        <color rgb="FFFF0000"/>
      </font>
    </dxf>
    <dxf>
      <font>
        <b/>
        <i val="0"/>
        <color rgb="FFFF0000"/>
      </font>
    </dxf>
    <dxf>
      <font>
        <b/>
        <i val="0"/>
        <color rgb="FFFF0000"/>
      </font>
    </dxf>
    <dxf>
      <fill>
        <patternFill>
          <bgColor rgb="FFFFFF99"/>
        </patternFill>
      </fill>
    </dxf>
    <dxf>
      <font>
        <b/>
        <i val="0"/>
        <color rgb="FFFF0000"/>
      </font>
    </dxf>
    <dxf>
      <font>
        <b/>
        <i val="0"/>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9"/>
      </font>
    </dxf>
    <dxf>
      <font>
        <color theme="0"/>
      </font>
    </dxf>
    <dxf>
      <font>
        <color theme="0"/>
      </font>
    </dxf>
    <dxf>
      <font>
        <color theme="4" tint="0.59996337778862885"/>
      </font>
    </dxf>
    <dxf>
      <fill>
        <patternFill patternType="darkHorizontal">
          <bgColor theme="0"/>
        </patternFill>
      </fill>
    </dxf>
    <dxf>
      <fill>
        <patternFill>
          <bgColor rgb="FF66FFFF"/>
        </patternFill>
      </fill>
      <border>
        <left style="thin">
          <color auto="1"/>
        </left>
        <right style="thin">
          <color auto="1"/>
        </right>
        <top style="thin">
          <color auto="1"/>
        </top>
        <bottom style="thin">
          <color auto="1"/>
        </bottom>
        <vertical/>
        <horizontal/>
      </border>
    </dxf>
    <dxf>
      <fill>
        <patternFill>
          <bgColor theme="2"/>
        </patternFill>
      </fill>
    </dxf>
    <dxf>
      <fill>
        <patternFill>
          <bgColor theme="4" tint="0.59996337778862885"/>
        </patternFill>
      </fill>
    </dxf>
    <dxf>
      <fill>
        <patternFill>
          <bgColor rgb="FFFFFF99"/>
        </patternFill>
      </fill>
    </dxf>
    <dxf>
      <font>
        <strike val="0"/>
        <color theme="3"/>
      </font>
      <fill>
        <patternFill patternType="none">
          <bgColor auto="1"/>
        </patternFill>
      </fill>
    </dxf>
    <dxf>
      <font>
        <b val="0"/>
        <color rgb="FF800080"/>
      </font>
      <fill>
        <patternFill>
          <bgColor rgb="FFFF99CC"/>
        </patternFill>
      </fill>
    </dxf>
    <dxf>
      <font>
        <b val="0"/>
        <color rgb="FF800080"/>
      </font>
      <fill>
        <patternFill>
          <bgColor rgb="FFFF99CC"/>
        </patternFill>
      </fill>
    </dxf>
  </dxfs>
  <tableStyles count="0" defaultTableStyle="TableStyleMedium2" defaultPivotStyle="PivotStyleLight16"/>
  <colors>
    <mruColors>
      <color rgb="FFFFFF99"/>
      <color rgb="FFBACB55"/>
      <color rgb="FFCCECFF"/>
      <color rgb="FFFF99CC"/>
      <color rgb="FF66FFFF"/>
      <color rgb="FF00FFFF"/>
      <color rgb="FFCCFFCC"/>
      <color rgb="FFCCFF99"/>
      <color rgb="FFCCFFFF"/>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erechnung_KiZ_5-711%20neu.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erechnung"/>
      <sheetName val="ImportExport"/>
      <sheetName val="Rentner"/>
      <sheetName val="KdU"/>
      <sheetName val="Einkommen"/>
      <sheetName val="Jahreseinkommen"/>
      <sheetName val="Ø-Einkommen"/>
      <sheetName val="Wohngeld"/>
      <sheetName val="Riester"/>
      <sheetName val="Abrechnung"/>
      <sheetName val="Bedarfssätze"/>
    </sheetNames>
    <sheetDataSet>
      <sheetData sheetId="0" refreshError="1">
        <row r="3">
          <cell r="D3">
            <v>42736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9"/>
  <sheetViews>
    <sheetView showRowColHeaders="0" tabSelected="1" workbookViewId="0">
      <selection activeCell="A2" sqref="A2:I2"/>
    </sheetView>
  </sheetViews>
  <sheetFormatPr baseColWidth="10" defaultRowHeight="12.75"/>
  <cols>
    <col min="1" max="1" width="6.140625" customWidth="1"/>
  </cols>
  <sheetData>
    <row r="1" spans="1:8" s="1856" customFormat="1" ht="47.25" customHeight="1">
      <c r="A1" s="1941" t="s">
        <v>2377</v>
      </c>
      <c r="B1" s="1942"/>
      <c r="C1" s="1942"/>
      <c r="D1" s="1942"/>
      <c r="E1" s="1942"/>
      <c r="F1" s="1942"/>
      <c r="G1" s="1942"/>
      <c r="H1" s="1942"/>
    </row>
    <row r="3" spans="1:8" ht="97.9" customHeight="1">
      <c r="A3" s="1856">
        <v>1</v>
      </c>
      <c r="B3" s="1943" t="s">
        <v>2383</v>
      </c>
      <c r="C3" s="1944"/>
      <c r="D3" s="1944"/>
      <c r="E3" s="1944"/>
      <c r="F3" s="1944"/>
      <c r="G3" s="1944"/>
      <c r="H3" s="1944"/>
    </row>
    <row r="4" spans="1:8" ht="20.45" customHeight="1">
      <c r="A4" s="1856">
        <v>2</v>
      </c>
      <c r="B4" s="1945" t="s">
        <v>2378</v>
      </c>
      <c r="C4" s="1946"/>
      <c r="D4" s="1946"/>
      <c r="E4" s="1946"/>
      <c r="F4" s="1946"/>
      <c r="G4" s="1946"/>
      <c r="H4" s="1946"/>
    </row>
    <row r="5" spans="1:8" ht="104.45" customHeight="1">
      <c r="A5" s="1856">
        <v>3</v>
      </c>
      <c r="B5" s="1943" t="s">
        <v>2379</v>
      </c>
      <c r="C5" s="1944"/>
      <c r="D5" s="1944"/>
      <c r="E5" s="1944"/>
      <c r="F5" s="1944"/>
      <c r="G5" s="1944"/>
      <c r="H5" s="1944"/>
    </row>
    <row r="6" spans="1:8" ht="28.5" customHeight="1">
      <c r="A6" s="1856">
        <v>4</v>
      </c>
      <c r="B6" s="1943" t="s">
        <v>2380</v>
      </c>
      <c r="C6" s="1944"/>
      <c r="D6" s="1944"/>
      <c r="E6" s="1944"/>
      <c r="F6" s="1944"/>
      <c r="G6" s="1944"/>
      <c r="H6" s="1944"/>
    </row>
    <row r="7" spans="1:8" ht="42" customHeight="1">
      <c r="A7" s="1856">
        <v>5</v>
      </c>
      <c r="B7" s="1943" t="s">
        <v>2381</v>
      </c>
      <c r="C7" s="1944"/>
      <c r="D7" s="1944"/>
      <c r="E7" s="1944"/>
      <c r="F7" s="1944"/>
      <c r="G7" s="1944"/>
      <c r="H7" s="1944"/>
    </row>
    <row r="9" spans="1:8" ht="18">
      <c r="B9" s="1940" t="s">
        <v>2382</v>
      </c>
      <c r="C9" s="1940"/>
      <c r="D9" s="1940"/>
      <c r="E9" s="1940"/>
      <c r="F9" s="1940"/>
      <c r="G9" s="1940"/>
      <c r="H9" s="1940"/>
    </row>
  </sheetData>
  <sheetProtection sheet="1" objects="1" scenarios="1"/>
  <mergeCells count="7">
    <mergeCell ref="B9:H9"/>
    <mergeCell ref="A1:H1"/>
    <mergeCell ref="B3:H3"/>
    <mergeCell ref="B4:H4"/>
    <mergeCell ref="B5:H5"/>
    <mergeCell ref="B6:H6"/>
    <mergeCell ref="B7:H7"/>
  </mergeCells>
  <hyperlinks>
    <hyperlink ref="B9:H9" location="Eingabetabelle!H13" display="Und jetzt viel Erfolg mit dem Rechner"/>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I98"/>
  <sheetViews>
    <sheetView showGridLines="0" showRowColHeaders="0" showZeros="0" zoomScale="115" zoomScaleNormal="115" workbookViewId="0">
      <selection activeCell="A11" sqref="A11"/>
    </sheetView>
  </sheetViews>
  <sheetFormatPr baseColWidth="10" defaultRowHeight="12.75"/>
  <cols>
    <col min="1" max="1" width="37.140625" customWidth="1"/>
    <col min="2" max="2" width="16.7109375" customWidth="1"/>
    <col min="3" max="9" width="12.85546875" customWidth="1"/>
  </cols>
  <sheetData>
    <row r="1" spans="1:9" ht="17.25" thickBot="1">
      <c r="A1" s="205"/>
      <c r="B1" s="205"/>
      <c r="C1" s="205"/>
      <c r="D1" s="205"/>
      <c r="E1" s="205"/>
      <c r="F1" s="205"/>
      <c r="G1" s="205"/>
      <c r="H1" s="606" t="s">
        <v>183</v>
      </c>
      <c r="I1" s="605">
        <f ca="1">TODAY()</f>
        <v>43401</v>
      </c>
    </row>
    <row r="2" spans="1:9" ht="24.95" customHeight="1">
      <c r="A2" s="2162" t="s">
        <v>247</v>
      </c>
      <c r="B2" s="2163"/>
      <c r="C2" s="2163"/>
      <c r="D2" s="2163"/>
      <c r="E2" s="2163"/>
      <c r="F2" s="2163"/>
      <c r="G2" s="2163"/>
      <c r="H2" s="2163"/>
      <c r="I2" s="2164"/>
    </row>
    <row r="3" spans="1:9" ht="20.100000000000001" customHeight="1" thickBot="1">
      <c r="A3" s="238" t="s">
        <v>4</v>
      </c>
      <c r="B3" s="2107">
        <f>Zusatzeingaben!B2</f>
        <v>0</v>
      </c>
      <c r="C3" s="2108"/>
      <c r="D3" s="239" t="s">
        <v>33</v>
      </c>
      <c r="E3" s="338">
        <f>Zusatzeingaben!E2</f>
        <v>43344</v>
      </c>
      <c r="F3" s="263" t="s">
        <v>103</v>
      </c>
      <c r="G3" s="339">
        <f>Zusatzeingaben!F2</f>
        <v>43373</v>
      </c>
      <c r="H3" s="240"/>
      <c r="I3" s="241"/>
    </row>
    <row r="4" spans="1:9" ht="24.95" customHeight="1" thickBot="1">
      <c r="A4" s="205"/>
      <c r="B4" s="205"/>
      <c r="C4" s="205"/>
      <c r="D4" s="205"/>
      <c r="E4" s="205"/>
      <c r="F4" s="205"/>
      <c r="G4" s="205"/>
      <c r="H4" s="205"/>
      <c r="I4" s="205"/>
    </row>
    <row r="5" spans="1:9" ht="24.95" customHeight="1">
      <c r="A5" s="811" t="s">
        <v>263</v>
      </c>
      <c r="B5" s="773" t="s">
        <v>1</v>
      </c>
      <c r="C5" s="773" t="str">
        <f>Zusatzeingaben!C4</f>
        <v>Antragsteller</v>
      </c>
      <c r="D5" s="773" t="str">
        <f>Zusatzeingaben!D4</f>
        <v>Partner(in)</v>
      </c>
      <c r="E5" s="773" t="str">
        <f>Zusatzeingaben!E4</f>
        <v>Kind 1</v>
      </c>
      <c r="F5" s="773" t="s">
        <v>8</v>
      </c>
      <c r="G5" s="773" t="s">
        <v>9</v>
      </c>
      <c r="H5" s="773" t="s">
        <v>10</v>
      </c>
      <c r="I5" s="774" t="s">
        <v>34</v>
      </c>
    </row>
    <row r="6" spans="1:9" ht="20.100000000000001" customHeight="1">
      <c r="A6" s="757" t="s">
        <v>35</v>
      </c>
      <c r="B6" s="300">
        <f>Zusatzeingaben!B6</f>
        <v>1</v>
      </c>
      <c r="C6" s="301">
        <f>Zusatzeingaben!C6</f>
        <v>0</v>
      </c>
      <c r="D6" s="301">
        <f>Zusatzeingaben!D6</f>
        <v>0</v>
      </c>
      <c r="E6" s="301">
        <f>Zusatzeingaben!E6</f>
        <v>0</v>
      </c>
      <c r="F6" s="301">
        <f>Zusatzeingaben!F6</f>
        <v>0</v>
      </c>
      <c r="G6" s="301">
        <f>Zusatzeingaben!G6</f>
        <v>0</v>
      </c>
      <c r="H6" s="301">
        <f>Zusatzeingaben!H6</f>
        <v>0</v>
      </c>
      <c r="I6" s="302">
        <f>Zusatzeingaben!I6</f>
        <v>0</v>
      </c>
    </row>
    <row r="7" spans="1:9" ht="20.100000000000001" hidden="1" customHeight="1">
      <c r="A7" s="757" t="s">
        <v>32</v>
      </c>
      <c r="B7" s="303"/>
      <c r="C7" s="304" t="str">
        <f>Zusatzeingaben!E7</f>
        <v>nein</v>
      </c>
      <c r="D7" s="304" t="str">
        <f>Zusatzeingaben!F7</f>
        <v>nein</v>
      </c>
      <c r="E7" s="304"/>
      <c r="F7" s="304"/>
      <c r="G7" s="304"/>
      <c r="H7" s="304"/>
      <c r="I7" s="305"/>
    </row>
    <row r="8" spans="1:9" ht="17.100000000000001" customHeight="1">
      <c r="A8" s="757" t="s">
        <v>3</v>
      </c>
      <c r="B8" s="306"/>
      <c r="C8" s="307">
        <f>Zusatzeingaben!C22</f>
        <v>0</v>
      </c>
      <c r="D8" s="307">
        <f>Zusatzeingaben!D22</f>
        <v>0</v>
      </c>
      <c r="E8" s="307">
        <f>IF(Zusatzeingaben!E16=0,Zusatzeingaben!E16,Zusatzeingaben!E22)</f>
        <v>0</v>
      </c>
      <c r="F8" s="307">
        <f>IF(Zusatzeingaben!F16=0,Zusatzeingaben!F16,Zusatzeingaben!F22)</f>
        <v>0</v>
      </c>
      <c r="G8" s="307">
        <f>IF(Zusatzeingaben!G16=0,Zusatzeingaben!G16,Zusatzeingaben!G22)</f>
        <v>0</v>
      </c>
      <c r="H8" s="307">
        <f>IF(Zusatzeingaben!H16=0,Zusatzeingaben!H16,Zusatzeingaben!H22)</f>
        <v>0</v>
      </c>
      <c r="I8" s="310">
        <f>IF(Zusatzeingaben!I16=0,Zusatzeingaben!I16,Zusatzeingaben!I22)</f>
        <v>0</v>
      </c>
    </row>
    <row r="9" spans="1:9" ht="17.100000000000001" customHeight="1" thickBot="1">
      <c r="A9" s="758" t="s">
        <v>39</v>
      </c>
      <c r="B9" s="308"/>
      <c r="C9" s="759" t="str">
        <f>Zusatzeingaben!C35</f>
        <v>ja</v>
      </c>
      <c r="D9" s="759">
        <f>IF(Zusatzeingaben!D33&gt;0,Zusatzeingaben!D35,0)</f>
        <v>0</v>
      </c>
      <c r="E9" s="759">
        <f>IF(Zusatzeingaben!E33&gt;0,Zusatzeingaben!E35,0)</f>
        <v>0</v>
      </c>
      <c r="F9" s="759">
        <f>IF(Zusatzeingaben!F33&gt;0,Zusatzeingaben!F35,0)</f>
        <v>0</v>
      </c>
      <c r="G9" s="759">
        <f>IF(Zusatzeingaben!G33&gt;0,Zusatzeingaben!G35,0)</f>
        <v>0</v>
      </c>
      <c r="H9" s="759">
        <f>IF(Zusatzeingaben!H33&gt;0,Zusatzeingaben!H35,0)</f>
        <v>0</v>
      </c>
      <c r="I9" s="760">
        <f>IF(Zusatzeingaben!I33&gt;0,Zusatzeingaben!I35,0)</f>
        <v>0</v>
      </c>
    </row>
    <row r="10" spans="1:9" ht="20.100000000000001" customHeight="1">
      <c r="A10" s="812" t="s">
        <v>242</v>
      </c>
      <c r="B10" s="813"/>
      <c r="C10" s="813"/>
      <c r="D10" s="813"/>
      <c r="E10" s="813"/>
      <c r="F10" s="813"/>
      <c r="G10" s="813"/>
      <c r="H10" s="813"/>
      <c r="I10" s="814"/>
    </row>
    <row r="11" spans="1:9" ht="20.100000000000001" customHeight="1">
      <c r="A11" s="90" t="s">
        <v>241</v>
      </c>
      <c r="B11" s="762"/>
      <c r="C11" s="26"/>
      <c r="D11" s="26"/>
      <c r="E11" s="26"/>
      <c r="F11" s="26"/>
      <c r="G11" s="26"/>
      <c r="H11" s="26"/>
      <c r="I11" s="46"/>
    </row>
    <row r="12" spans="1:9" ht="20.100000000000001" customHeight="1">
      <c r="A12" s="124" t="s">
        <v>246</v>
      </c>
      <c r="B12" s="762"/>
      <c r="C12" s="26"/>
      <c r="D12" s="26"/>
      <c r="E12" s="26"/>
      <c r="F12" s="26"/>
      <c r="G12" s="26"/>
      <c r="H12" s="26"/>
      <c r="I12" s="46"/>
    </row>
    <row r="13" spans="1:9" ht="20.100000000000001" customHeight="1">
      <c r="A13" s="815" t="s">
        <v>243</v>
      </c>
      <c r="B13" s="762"/>
      <c r="C13" s="762"/>
      <c r="D13" s="762"/>
      <c r="E13" s="762"/>
      <c r="F13" s="762"/>
      <c r="G13" s="762"/>
      <c r="H13" s="762"/>
      <c r="I13" s="816"/>
    </row>
    <row r="14" spans="1:9" ht="20.100000000000001" customHeight="1">
      <c r="A14" s="817" t="s">
        <v>244</v>
      </c>
      <c r="B14" s="762"/>
      <c r="C14" s="26"/>
      <c r="D14" s="26"/>
      <c r="E14" s="26"/>
      <c r="F14" s="26"/>
      <c r="G14" s="26"/>
      <c r="H14" s="26"/>
      <c r="I14" s="46"/>
    </row>
    <row r="15" spans="1:9" ht="20.100000000000001" customHeight="1" thickBot="1">
      <c r="A15" s="818" t="s">
        <v>245</v>
      </c>
      <c r="B15" s="819"/>
      <c r="C15" s="39">
        <f t="shared" ref="C15:I15" si="0">C14</f>
        <v>0</v>
      </c>
      <c r="D15" s="39">
        <f t="shared" si="0"/>
        <v>0</v>
      </c>
      <c r="E15" s="39">
        <f t="shared" si="0"/>
        <v>0</v>
      </c>
      <c r="F15" s="39">
        <f t="shared" si="0"/>
        <v>0</v>
      </c>
      <c r="G15" s="39">
        <f t="shared" si="0"/>
        <v>0</v>
      </c>
      <c r="H15" s="39">
        <f t="shared" si="0"/>
        <v>0</v>
      </c>
      <c r="I15" s="96">
        <f t="shared" si="0"/>
        <v>0</v>
      </c>
    </row>
    <row r="16" spans="1:9" ht="20.100000000000001" customHeight="1">
      <c r="A16" s="803"/>
      <c r="B16" s="803"/>
      <c r="C16" s="803"/>
      <c r="D16" s="803"/>
      <c r="E16" s="803"/>
      <c r="F16" s="803"/>
      <c r="G16" s="803"/>
      <c r="H16" s="803"/>
      <c r="I16" s="803"/>
    </row>
    <row r="17" spans="1:9" s="483" customFormat="1" ht="20.100000000000001" customHeight="1" thickBot="1">
      <c r="A17" s="267"/>
      <c r="B17" s="267"/>
      <c r="C17" s="267"/>
      <c r="D17" s="267"/>
      <c r="E17" s="267"/>
      <c r="F17" s="267"/>
      <c r="G17" s="267"/>
      <c r="H17" s="267"/>
      <c r="I17" s="267"/>
    </row>
    <row r="18" spans="1:9" s="483" customFormat="1" ht="20.100000000000001" customHeight="1">
      <c r="A18" s="805" t="s">
        <v>264</v>
      </c>
      <c r="B18" s="806"/>
      <c r="C18" s="806"/>
      <c r="D18" s="806"/>
      <c r="E18" s="806"/>
      <c r="F18" s="806"/>
      <c r="G18" s="806"/>
      <c r="H18" s="806"/>
      <c r="I18" s="807"/>
    </row>
    <row r="19" spans="1:9" s="483" customFormat="1" ht="20.100000000000001" customHeight="1">
      <c r="A19" s="79" t="str">
        <f>A11</f>
        <v>Steuererstattung</v>
      </c>
      <c r="B19" s="20"/>
      <c r="C19" s="37">
        <f>C11</f>
        <v>0</v>
      </c>
      <c r="D19" s="37">
        <f t="shared" ref="D19:I19" si="1">D11</f>
        <v>0</v>
      </c>
      <c r="E19" s="37">
        <f t="shared" si="1"/>
        <v>0</v>
      </c>
      <c r="F19" s="37">
        <f t="shared" si="1"/>
        <v>0</v>
      </c>
      <c r="G19" s="37">
        <f t="shared" si="1"/>
        <v>0</v>
      </c>
      <c r="H19" s="37">
        <f t="shared" si="1"/>
        <v>0</v>
      </c>
      <c r="I19" s="521">
        <f t="shared" si="1"/>
        <v>0</v>
      </c>
    </row>
    <row r="20" spans="1:9" s="483" customFormat="1" ht="20.100000000000001" customHeight="1" thickBot="1">
      <c r="A20" s="522" t="s">
        <v>256</v>
      </c>
      <c r="B20" s="810"/>
      <c r="C20" s="524">
        <f>C12</f>
        <v>0</v>
      </c>
      <c r="D20" s="524">
        <f t="shared" ref="D20:I20" si="2">D12</f>
        <v>0</v>
      </c>
      <c r="E20" s="524">
        <f t="shared" si="2"/>
        <v>0</v>
      </c>
      <c r="F20" s="524">
        <f t="shared" si="2"/>
        <v>0</v>
      </c>
      <c r="G20" s="524">
        <f t="shared" si="2"/>
        <v>0</v>
      </c>
      <c r="H20" s="524">
        <f t="shared" si="2"/>
        <v>0</v>
      </c>
      <c r="I20" s="525">
        <f t="shared" si="2"/>
        <v>0</v>
      </c>
    </row>
    <row r="21" spans="1:9" s="483" customFormat="1" ht="20.100000000000001" customHeight="1" thickTop="1">
      <c r="A21" s="112" t="s">
        <v>265</v>
      </c>
      <c r="B21" s="809"/>
      <c r="C21" s="21">
        <f>C19-C20</f>
        <v>0</v>
      </c>
      <c r="D21" s="21">
        <f t="shared" ref="D21:I21" si="3">D19-D20</f>
        <v>0</v>
      </c>
      <c r="E21" s="21">
        <f t="shared" si="3"/>
        <v>0</v>
      </c>
      <c r="F21" s="21">
        <f t="shared" si="3"/>
        <v>0</v>
      </c>
      <c r="G21" s="21">
        <f t="shared" si="3"/>
        <v>0</v>
      </c>
      <c r="H21" s="21">
        <f t="shared" si="3"/>
        <v>0</v>
      </c>
      <c r="I21" s="88">
        <f t="shared" si="3"/>
        <v>0</v>
      </c>
    </row>
    <row r="22" spans="1:9" s="483" customFormat="1" ht="20.100000000000001" customHeight="1" thickBot="1">
      <c r="A22" s="808" t="str">
        <f>IF('Berechnung mit Einmalzahlung'!A74=0,"Betrag ist nicht auf 6 Monate aufzuteilen","auf 6 Monate verteilen")</f>
        <v>Betrag ist nicht auf 6 Monate aufzuteilen</v>
      </c>
      <c r="B22" s="827"/>
      <c r="C22" s="828">
        <f>'Berechnung mit Einmalzahlung'!C73</f>
        <v>0</v>
      </c>
      <c r="D22" s="828">
        <f>'Berechnung mit Einmalzahlung'!D73</f>
        <v>0</v>
      </c>
      <c r="E22" s="828">
        <f>'Berechnung mit Einmalzahlung'!E73</f>
        <v>0</v>
      </c>
      <c r="F22" s="828">
        <f>'Berechnung mit Einmalzahlung'!F73</f>
        <v>0</v>
      </c>
      <c r="G22" s="828">
        <f>'Berechnung mit Einmalzahlung'!G73</f>
        <v>0</v>
      </c>
      <c r="H22" s="828">
        <f>'Berechnung mit Einmalzahlung'!H73</f>
        <v>0</v>
      </c>
      <c r="I22" s="829">
        <f>'Berechnung mit Einmalzahlung'!I73</f>
        <v>0</v>
      </c>
    </row>
    <row r="23" spans="1:9" s="483" customFormat="1" ht="20.100000000000001" customHeight="1">
      <c r="A23" s="830"/>
      <c r="B23" s="571"/>
      <c r="C23" s="571"/>
      <c r="D23" s="571"/>
      <c r="E23" s="571"/>
      <c r="F23" s="571"/>
      <c r="G23" s="571"/>
      <c r="H23" s="571"/>
      <c r="I23" s="831"/>
    </row>
    <row r="24" spans="1:9" s="483" customFormat="1" ht="20.100000000000001" customHeight="1">
      <c r="A24" s="79" t="str">
        <f>A15</f>
        <v>Weihnachtsgeld netto</v>
      </c>
      <c r="B24" s="20"/>
      <c r="C24" s="37">
        <f>C15</f>
        <v>0</v>
      </c>
      <c r="D24" s="37">
        <f t="shared" ref="D24:I24" si="4">D15</f>
        <v>0</v>
      </c>
      <c r="E24" s="37">
        <f t="shared" si="4"/>
        <v>0</v>
      </c>
      <c r="F24" s="37">
        <f t="shared" si="4"/>
        <v>0</v>
      </c>
      <c r="G24" s="37">
        <f t="shared" si="4"/>
        <v>0</v>
      </c>
      <c r="H24" s="37">
        <f t="shared" si="4"/>
        <v>0</v>
      </c>
      <c r="I24" s="521">
        <f t="shared" si="4"/>
        <v>0</v>
      </c>
    </row>
    <row r="25" spans="1:9" s="483" customFormat="1" ht="20.100000000000001" customHeight="1">
      <c r="A25" s="832" t="str">
        <f>IF('Berechnung mit Einmalzahlung'!A60=0,"Betrag ist nicht auf 6 Monate aufzuteilen","auf 6 Monate verteilen")</f>
        <v>Betrag ist nicht auf 6 Monate aufzuteilen</v>
      </c>
      <c r="B25" s="20"/>
      <c r="C25" s="20"/>
      <c r="D25" s="20"/>
      <c r="E25" s="20"/>
      <c r="F25" s="20"/>
      <c r="G25" s="20"/>
      <c r="H25" s="20"/>
      <c r="I25" s="91"/>
    </row>
    <row r="26" spans="1:9" s="483" customFormat="1" ht="20.100000000000001" customHeight="1">
      <c r="A26" s="97">
        <f>IF($A$25="auf 6 Monate verteilen","./. Freibetrag § 11b (3) auf Einmalzahlung",0)</f>
        <v>0</v>
      </c>
      <c r="B26" s="20"/>
      <c r="C26" s="37">
        <f>IF($A$25&gt;0,'Berechnung mit Einmalzahlung'!H206,0)</f>
        <v>0</v>
      </c>
      <c r="D26" s="37">
        <f>IF($A$25&gt;0,'Berechnung mit Einmalzahlung'!H212,0)</f>
        <v>0</v>
      </c>
      <c r="E26" s="37">
        <f>IF($A$25&gt;0,'Berechnung mit Einmalzahlung'!H218,0)</f>
        <v>0</v>
      </c>
      <c r="F26" s="37">
        <f>IF($A$25&gt;0,'Berechnung mit Einmalzahlung'!H224,0)</f>
        <v>0</v>
      </c>
      <c r="G26" s="37">
        <f>IF($A$25&gt;0,'Berechnung mit Einmalzahlung'!H230,0)</f>
        <v>0</v>
      </c>
      <c r="H26" s="37">
        <f>IF($A$25&gt;0,'Berechnung mit Einmalzahlung'!H236,0)</f>
        <v>0</v>
      </c>
      <c r="I26" s="521">
        <f>IF($A$25&gt;0,'Berechnung mit Einmalzahlung'!H242,0)</f>
        <v>0</v>
      </c>
    </row>
    <row r="27" spans="1:9" s="483" customFormat="1" ht="20.100000000000001" customHeight="1">
      <c r="A27" s="97">
        <f>IF($A$25="auf 6 Monate verteilen","verbleiben",0)</f>
        <v>0</v>
      </c>
      <c r="B27" s="20"/>
      <c r="C27" s="37">
        <f>IF($A$26&gt;0,C24-C26,0)</f>
        <v>0</v>
      </c>
      <c r="D27" s="37">
        <f t="shared" ref="D27:I27" si="5">IF($A$26&gt;0,D24-D26,0)</f>
        <v>0</v>
      </c>
      <c r="E27" s="37">
        <f t="shared" si="5"/>
        <v>0</v>
      </c>
      <c r="F27" s="37">
        <f t="shared" si="5"/>
        <v>0</v>
      </c>
      <c r="G27" s="37">
        <f t="shared" si="5"/>
        <v>0</v>
      </c>
      <c r="H27" s="37">
        <f t="shared" si="5"/>
        <v>0</v>
      </c>
      <c r="I27" s="521">
        <f t="shared" si="5"/>
        <v>0</v>
      </c>
    </row>
    <row r="28" spans="1:9" s="483" customFormat="1" ht="20.100000000000001" customHeight="1" thickBot="1">
      <c r="A28" s="826">
        <f>IF($A$25="auf 6 Monate verteilen",": 6 Monate",0)</f>
        <v>0</v>
      </c>
      <c r="B28" s="827"/>
      <c r="C28" s="833">
        <f>C27/6</f>
        <v>0</v>
      </c>
      <c r="D28" s="833">
        <f t="shared" ref="D28:I28" si="6">D27/6</f>
        <v>0</v>
      </c>
      <c r="E28" s="833">
        <f t="shared" si="6"/>
        <v>0</v>
      </c>
      <c r="F28" s="833">
        <f t="shared" si="6"/>
        <v>0</v>
      </c>
      <c r="G28" s="833">
        <f t="shared" si="6"/>
        <v>0</v>
      </c>
      <c r="H28" s="833">
        <f t="shared" si="6"/>
        <v>0</v>
      </c>
      <c r="I28" s="834">
        <f t="shared" si="6"/>
        <v>0</v>
      </c>
    </row>
    <row r="29" spans="1:9" s="483" customFormat="1" ht="20.100000000000001" customHeight="1">
      <c r="A29" s="835" t="s">
        <v>266</v>
      </c>
      <c r="B29" s="267"/>
      <c r="C29" s="267"/>
      <c r="D29" s="267"/>
      <c r="E29" s="267"/>
      <c r="F29" s="267"/>
      <c r="G29" s="267"/>
      <c r="H29" s="267"/>
      <c r="I29" s="267"/>
    </row>
    <row r="30" spans="1:9" s="483" customFormat="1" ht="20.100000000000001" customHeight="1">
      <c r="A30" s="267"/>
      <c r="B30" s="267"/>
      <c r="C30" s="267"/>
      <c r="D30" s="267"/>
      <c r="E30" s="267"/>
      <c r="F30" s="267"/>
      <c r="G30" s="267"/>
      <c r="H30" s="267"/>
      <c r="I30" s="267"/>
    </row>
    <row r="31" spans="1:9" s="483" customFormat="1" ht="20.100000000000001" customHeight="1" thickBot="1">
      <c r="A31" s="267"/>
      <c r="B31" s="267"/>
      <c r="C31" s="267"/>
      <c r="D31" s="267"/>
      <c r="E31" s="267"/>
      <c r="F31" s="267"/>
      <c r="G31" s="267"/>
      <c r="H31" s="267"/>
      <c r="I31" s="267"/>
    </row>
    <row r="32" spans="1:9" ht="24.95" customHeight="1">
      <c r="A32" s="2162" t="s">
        <v>262</v>
      </c>
      <c r="B32" s="2163"/>
      <c r="C32" s="2163"/>
      <c r="D32" s="2163"/>
      <c r="E32" s="2163"/>
      <c r="F32" s="2163"/>
      <c r="G32" s="2163"/>
      <c r="H32" s="2163"/>
      <c r="I32" s="2164"/>
    </row>
    <row r="33" spans="1:9" ht="20.100000000000001" customHeight="1" thickBot="1">
      <c r="A33" s="802"/>
      <c r="B33" s="803"/>
      <c r="C33" s="803"/>
      <c r="D33" s="803"/>
      <c r="E33" s="803"/>
      <c r="F33" s="803"/>
      <c r="G33" s="803"/>
      <c r="H33" s="803"/>
      <c r="I33" s="804"/>
    </row>
    <row r="34" spans="1:9" ht="20.100000000000001" customHeight="1">
      <c r="A34" s="797"/>
      <c r="B34" s="798"/>
      <c r="C34" s="773" t="str">
        <f>Zusatzeingaben!C4</f>
        <v>Antragsteller</v>
      </c>
      <c r="D34" s="773" t="str">
        <f>Zusatzeingaben!D4</f>
        <v>Partner(in)</v>
      </c>
      <c r="E34" s="773" t="str">
        <f>Zusatzeingaben!E4</f>
        <v>Kind 1</v>
      </c>
      <c r="F34" s="773" t="s">
        <v>8</v>
      </c>
      <c r="G34" s="773" t="s">
        <v>9</v>
      </c>
      <c r="H34" s="773" t="s">
        <v>10</v>
      </c>
      <c r="I34" s="774" t="s">
        <v>34</v>
      </c>
    </row>
    <row r="35" spans="1:9" ht="20.100000000000001" customHeight="1">
      <c r="A35" s="757" t="s">
        <v>54</v>
      </c>
      <c r="B35" s="795"/>
      <c r="C35" s="26"/>
      <c r="D35" s="26"/>
      <c r="E35" s="26"/>
      <c r="F35" s="26"/>
      <c r="G35" s="26"/>
      <c r="H35" s="26"/>
      <c r="I35" s="46"/>
    </row>
    <row r="36" spans="1:9" ht="20.100000000000001" customHeight="1">
      <c r="A36" s="757" t="s">
        <v>53</v>
      </c>
      <c r="B36" s="795"/>
      <c r="C36" s="26">
        <f>C35</f>
        <v>0</v>
      </c>
      <c r="D36" s="26">
        <f t="shared" ref="D36:I36" si="7">D35</f>
        <v>0</v>
      </c>
      <c r="E36" s="26">
        <f t="shared" si="7"/>
        <v>0</v>
      </c>
      <c r="F36" s="26">
        <f t="shared" si="7"/>
        <v>0</v>
      </c>
      <c r="G36" s="26">
        <f t="shared" si="7"/>
        <v>0</v>
      </c>
      <c r="H36" s="26">
        <f t="shared" si="7"/>
        <v>0</v>
      </c>
      <c r="I36" s="46">
        <f t="shared" si="7"/>
        <v>0</v>
      </c>
    </row>
    <row r="37" spans="1:9" ht="20.100000000000001" customHeight="1">
      <c r="A37" s="757" t="s">
        <v>258</v>
      </c>
      <c r="B37" s="795"/>
      <c r="C37" s="295">
        <f>IF(C36&lt;100,C36,100)</f>
        <v>0</v>
      </c>
      <c r="D37" s="295">
        <f t="shared" ref="D37:I37" si="8">IF(D36&lt;100,D36,100)</f>
        <v>0</v>
      </c>
      <c r="E37" s="295">
        <f t="shared" si="8"/>
        <v>0</v>
      </c>
      <c r="F37" s="295">
        <f t="shared" si="8"/>
        <v>0</v>
      </c>
      <c r="G37" s="295">
        <f t="shared" si="8"/>
        <v>0</v>
      </c>
      <c r="H37" s="295">
        <f t="shared" si="8"/>
        <v>0</v>
      </c>
      <c r="I37" s="296">
        <f t="shared" si="8"/>
        <v>0</v>
      </c>
    </row>
    <row r="38" spans="1:9" ht="20.100000000000001" customHeight="1" thickBot="1">
      <c r="A38" s="801" t="s">
        <v>259</v>
      </c>
      <c r="B38" s="796"/>
      <c r="C38" s="312">
        <f>'Berechnung mit Einmalzahlung'!B301</f>
        <v>0</v>
      </c>
      <c r="D38" s="312">
        <f>'Berechnung mit Einmalzahlung'!C301</f>
        <v>0</v>
      </c>
      <c r="E38" s="312">
        <f>'Berechnung mit Einmalzahlung'!D301</f>
        <v>0</v>
      </c>
      <c r="F38" s="312">
        <f>'Berechnung mit Einmalzahlung'!E301</f>
        <v>0</v>
      </c>
      <c r="G38" s="312">
        <f>'Berechnung mit Einmalzahlung'!F301</f>
        <v>0</v>
      </c>
      <c r="H38" s="312">
        <f>'Berechnung mit Einmalzahlung'!G301</f>
        <v>0</v>
      </c>
      <c r="I38" s="313">
        <f>'Berechnung mit Einmalzahlung'!H301</f>
        <v>0</v>
      </c>
    </row>
    <row r="39" spans="1:9" ht="24.95" customHeight="1" thickTop="1" thickBot="1">
      <c r="A39" s="799" t="s">
        <v>260</v>
      </c>
      <c r="B39" s="800"/>
      <c r="C39" s="793">
        <f>C36-C37-C38</f>
        <v>0</v>
      </c>
      <c r="D39" s="793">
        <f t="shared" ref="D39:I39" si="9">D36-D37-D38</f>
        <v>0</v>
      </c>
      <c r="E39" s="793">
        <f t="shared" si="9"/>
        <v>0</v>
      </c>
      <c r="F39" s="793">
        <f t="shared" si="9"/>
        <v>0</v>
      </c>
      <c r="G39" s="793">
        <f t="shared" si="9"/>
        <v>0</v>
      </c>
      <c r="H39" s="793">
        <f t="shared" si="9"/>
        <v>0</v>
      </c>
      <c r="I39" s="794">
        <f t="shared" si="9"/>
        <v>0</v>
      </c>
    </row>
    <row r="40" spans="1:9" ht="20.100000000000001" customHeight="1">
      <c r="A40" s="761"/>
      <c r="B40" s="761"/>
      <c r="C40" s="761"/>
      <c r="D40" s="761"/>
      <c r="E40" s="761"/>
      <c r="F40" s="761"/>
      <c r="G40" s="761"/>
      <c r="H40" s="761"/>
      <c r="I40" s="761"/>
    </row>
    <row r="41" spans="1:9" ht="20.100000000000001" customHeight="1">
      <c r="A41" s="761"/>
      <c r="B41" s="761"/>
      <c r="C41" s="761"/>
      <c r="D41" s="761"/>
      <c r="E41" s="761"/>
      <c r="F41" s="761"/>
      <c r="G41" s="761"/>
      <c r="H41" s="761"/>
      <c r="I41" s="761"/>
    </row>
    <row r="42" spans="1:9" ht="20.100000000000001" customHeight="1">
      <c r="A42" s="761"/>
      <c r="B42" s="761"/>
      <c r="C42" s="761"/>
      <c r="D42" s="761"/>
      <c r="E42" s="761"/>
      <c r="F42" s="761"/>
      <c r="G42" s="761"/>
      <c r="H42" s="761"/>
      <c r="I42" s="761"/>
    </row>
    <row r="43" spans="1:9" ht="20.100000000000001" customHeight="1">
      <c r="A43" s="761"/>
      <c r="B43" s="761"/>
      <c r="C43" s="761"/>
      <c r="D43" s="761"/>
      <c r="E43" s="761"/>
      <c r="F43" s="761"/>
      <c r="G43" s="761"/>
      <c r="H43" s="761"/>
      <c r="I43" s="761"/>
    </row>
    <row r="44" spans="1:9" ht="20.100000000000001" customHeight="1">
      <c r="A44" s="761"/>
      <c r="B44" s="761"/>
      <c r="C44" s="761"/>
      <c r="D44" s="761"/>
      <c r="E44" s="761"/>
      <c r="F44" s="761"/>
      <c r="G44" s="761"/>
      <c r="H44" s="761"/>
      <c r="I44" s="761"/>
    </row>
    <row r="45" spans="1:9" ht="20.100000000000001" customHeight="1">
      <c r="A45" s="761"/>
      <c r="B45" s="761"/>
      <c r="C45" s="761"/>
      <c r="D45" s="761"/>
      <c r="E45" s="761"/>
      <c r="F45" s="761"/>
      <c r="G45" s="761"/>
      <c r="H45" s="761"/>
      <c r="I45" s="761"/>
    </row>
    <row r="46" spans="1:9" ht="20.100000000000001" customHeight="1">
      <c r="A46" s="761"/>
      <c r="B46" s="761"/>
      <c r="C46" s="761"/>
      <c r="D46" s="761"/>
      <c r="E46" s="761"/>
      <c r="F46" s="761"/>
      <c r="G46" s="761"/>
      <c r="H46" s="761"/>
      <c r="I46" s="761"/>
    </row>
    <row r="47" spans="1:9" ht="20.100000000000001" customHeight="1">
      <c r="A47" s="761"/>
      <c r="B47" s="761"/>
      <c r="C47" s="761"/>
      <c r="D47" s="761"/>
      <c r="E47" s="761"/>
      <c r="F47" s="761"/>
      <c r="G47" s="761"/>
      <c r="H47" s="761"/>
      <c r="I47" s="761"/>
    </row>
    <row r="48" spans="1:9" ht="20.100000000000001" customHeight="1">
      <c r="A48" s="761"/>
      <c r="B48" s="761"/>
      <c r="C48" s="761"/>
      <c r="D48" s="761"/>
      <c r="E48" s="761"/>
      <c r="F48" s="761"/>
      <c r="G48" s="761"/>
      <c r="H48" s="761"/>
      <c r="I48" s="761"/>
    </row>
    <row r="49" spans="1:9" ht="20.100000000000001" customHeight="1">
      <c r="A49" s="761"/>
      <c r="B49" s="761"/>
      <c r="C49" s="761"/>
      <c r="D49" s="761"/>
      <c r="E49" s="761"/>
      <c r="F49" s="761"/>
      <c r="G49" s="761"/>
      <c r="H49" s="761"/>
      <c r="I49" s="761"/>
    </row>
    <row r="50" spans="1:9" ht="20.100000000000001" customHeight="1">
      <c r="A50" s="761"/>
      <c r="B50" s="761"/>
      <c r="C50" s="761"/>
      <c r="D50" s="761"/>
      <c r="E50" s="761"/>
      <c r="F50" s="761"/>
      <c r="G50" s="761"/>
      <c r="H50" s="761"/>
      <c r="I50" s="761"/>
    </row>
    <row r="51" spans="1:9" ht="20.100000000000001" customHeight="1">
      <c r="A51" s="761"/>
      <c r="B51" s="761"/>
      <c r="C51" s="761"/>
      <c r="D51" s="761"/>
      <c r="E51" s="761"/>
      <c r="F51" s="761"/>
      <c r="G51" s="761"/>
      <c r="H51" s="761"/>
      <c r="I51" s="761"/>
    </row>
    <row r="52" spans="1:9" ht="20.100000000000001" customHeight="1">
      <c r="A52" s="761"/>
      <c r="B52" s="761"/>
      <c r="C52" s="761"/>
      <c r="D52" s="761"/>
      <c r="E52" s="761"/>
      <c r="F52" s="761"/>
      <c r="G52" s="761"/>
      <c r="H52" s="761"/>
      <c r="I52" s="761"/>
    </row>
    <row r="53" spans="1:9" ht="20.100000000000001" customHeight="1">
      <c r="A53" s="761"/>
      <c r="B53" s="761"/>
      <c r="C53" s="761"/>
      <c r="D53" s="761"/>
      <c r="E53" s="761"/>
      <c r="F53" s="761"/>
      <c r="G53" s="761"/>
      <c r="H53" s="761"/>
      <c r="I53" s="761"/>
    </row>
    <row r="54" spans="1:9" ht="20.100000000000001" customHeight="1">
      <c r="A54" s="761"/>
      <c r="B54" s="761"/>
      <c r="C54" s="761"/>
      <c r="D54" s="761"/>
      <c r="E54" s="761"/>
      <c r="F54" s="761"/>
      <c r="G54" s="761"/>
      <c r="H54" s="761"/>
      <c r="I54" s="761"/>
    </row>
    <row r="55" spans="1:9" ht="20.100000000000001" customHeight="1">
      <c r="A55" s="761"/>
      <c r="B55" s="761"/>
      <c r="C55" s="761"/>
      <c r="D55" s="761"/>
      <c r="E55" s="761"/>
      <c r="F55" s="761"/>
      <c r="G55" s="761"/>
      <c r="H55" s="761"/>
      <c r="I55" s="761"/>
    </row>
    <row r="56" spans="1:9" ht="20.100000000000001" customHeight="1">
      <c r="A56" s="761"/>
      <c r="B56" s="761"/>
      <c r="C56" s="761"/>
      <c r="D56" s="761"/>
      <c r="E56" s="761"/>
      <c r="F56" s="761"/>
      <c r="G56" s="761"/>
      <c r="H56" s="761"/>
      <c r="I56" s="761"/>
    </row>
    <row r="57" spans="1:9" ht="20.100000000000001" customHeight="1">
      <c r="A57" s="761"/>
      <c r="B57" s="761"/>
      <c r="C57" s="761"/>
      <c r="D57" s="761"/>
      <c r="E57" s="761"/>
      <c r="F57" s="761"/>
      <c r="G57" s="761"/>
      <c r="H57" s="761"/>
      <c r="I57" s="761"/>
    </row>
    <row r="58" spans="1:9" ht="20.100000000000001" customHeight="1">
      <c r="A58" s="761"/>
      <c r="B58" s="761"/>
      <c r="C58" s="761"/>
      <c r="D58" s="761"/>
      <c r="E58" s="761"/>
      <c r="F58" s="761"/>
      <c r="G58" s="761"/>
      <c r="H58" s="761"/>
      <c r="I58" s="761"/>
    </row>
    <row r="59" spans="1:9" ht="20.100000000000001" customHeight="1">
      <c r="A59" s="761"/>
      <c r="B59" s="761"/>
      <c r="C59" s="761"/>
      <c r="D59" s="761"/>
      <c r="E59" s="761"/>
      <c r="F59" s="761"/>
      <c r="G59" s="761"/>
      <c r="H59" s="761"/>
      <c r="I59" s="761"/>
    </row>
    <row r="60" spans="1:9" ht="20.100000000000001" customHeight="1">
      <c r="A60" s="761"/>
      <c r="B60" s="761"/>
      <c r="C60" s="761"/>
      <c r="D60" s="761"/>
      <c r="E60" s="761"/>
      <c r="F60" s="761"/>
      <c r="G60" s="761"/>
      <c r="H60" s="761"/>
      <c r="I60" s="761"/>
    </row>
    <row r="61" spans="1:9" ht="20.100000000000001" customHeight="1">
      <c r="A61" s="761"/>
      <c r="B61" s="761"/>
      <c r="C61" s="761"/>
      <c r="D61" s="761"/>
      <c r="E61" s="761"/>
      <c r="F61" s="761"/>
      <c r="G61" s="761"/>
      <c r="H61" s="761"/>
      <c r="I61" s="761"/>
    </row>
    <row r="62" spans="1:9" ht="20.100000000000001" customHeight="1">
      <c r="A62" s="761"/>
      <c r="B62" s="761"/>
      <c r="C62" s="761"/>
      <c r="D62" s="761"/>
      <c r="E62" s="761"/>
      <c r="F62" s="761"/>
      <c r="G62" s="761"/>
      <c r="H62" s="761"/>
      <c r="I62" s="761"/>
    </row>
    <row r="63" spans="1:9" ht="20.100000000000001" customHeight="1">
      <c r="A63" s="761"/>
      <c r="B63" s="761"/>
      <c r="C63" s="761"/>
      <c r="D63" s="761"/>
      <c r="E63" s="761"/>
      <c r="F63" s="761"/>
      <c r="G63" s="761"/>
      <c r="H63" s="761"/>
      <c r="I63" s="761"/>
    </row>
    <row r="64" spans="1:9" ht="20.100000000000001" customHeight="1">
      <c r="A64" s="761"/>
      <c r="B64" s="761"/>
      <c r="C64" s="761"/>
      <c r="D64" s="761"/>
      <c r="E64" s="761"/>
      <c r="F64" s="761"/>
      <c r="G64" s="761"/>
      <c r="H64" s="761"/>
      <c r="I64" s="761"/>
    </row>
    <row r="65" spans="1:9" ht="20.100000000000001" customHeight="1">
      <c r="A65" s="761"/>
      <c r="B65" s="761"/>
      <c r="C65" s="761"/>
      <c r="D65" s="761"/>
      <c r="E65" s="761"/>
      <c r="F65" s="761"/>
      <c r="G65" s="761"/>
      <c r="H65" s="761"/>
      <c r="I65" s="761"/>
    </row>
    <row r="66" spans="1:9" ht="20.100000000000001" customHeight="1">
      <c r="A66" s="761"/>
      <c r="B66" s="761"/>
      <c r="C66" s="761"/>
      <c r="D66" s="761"/>
      <c r="E66" s="761"/>
      <c r="F66" s="761"/>
      <c r="G66" s="761"/>
      <c r="H66" s="761"/>
      <c r="I66" s="761"/>
    </row>
    <row r="67" spans="1:9" ht="20.100000000000001" customHeight="1">
      <c r="A67" s="761"/>
      <c r="B67" s="761"/>
      <c r="C67" s="761"/>
      <c r="D67" s="761"/>
      <c r="E67" s="761"/>
      <c r="F67" s="761"/>
      <c r="G67" s="761"/>
      <c r="H67" s="761"/>
      <c r="I67" s="761"/>
    </row>
    <row r="68" spans="1:9" ht="20.100000000000001" customHeight="1">
      <c r="A68" s="761"/>
      <c r="B68" s="761"/>
      <c r="C68" s="761"/>
      <c r="D68" s="761"/>
      <c r="E68" s="761"/>
      <c r="F68" s="761"/>
      <c r="G68" s="761"/>
      <c r="H68" s="761"/>
      <c r="I68" s="761"/>
    </row>
    <row r="69" spans="1:9" ht="20.100000000000001" customHeight="1">
      <c r="A69" s="761"/>
      <c r="B69" s="761"/>
      <c r="C69" s="761"/>
      <c r="D69" s="761"/>
      <c r="E69" s="761"/>
      <c r="F69" s="761"/>
      <c r="G69" s="761"/>
      <c r="H69" s="761"/>
      <c r="I69" s="761"/>
    </row>
    <row r="70" spans="1:9" ht="20.100000000000001" customHeight="1">
      <c r="A70" s="761"/>
      <c r="B70" s="761"/>
      <c r="C70" s="761"/>
      <c r="D70" s="761"/>
      <c r="E70" s="761"/>
      <c r="F70" s="761"/>
      <c r="G70" s="761"/>
      <c r="H70" s="761"/>
      <c r="I70" s="761"/>
    </row>
    <row r="71" spans="1:9" ht="20.100000000000001" customHeight="1">
      <c r="A71" s="761"/>
      <c r="B71" s="761"/>
      <c r="C71" s="761"/>
      <c r="D71" s="761"/>
      <c r="E71" s="761"/>
      <c r="F71" s="761"/>
      <c r="G71" s="761"/>
      <c r="H71" s="761"/>
      <c r="I71" s="761"/>
    </row>
    <row r="72" spans="1:9" ht="20.100000000000001" customHeight="1">
      <c r="A72" s="761"/>
      <c r="B72" s="761"/>
      <c r="C72" s="761"/>
      <c r="D72" s="761"/>
      <c r="E72" s="761"/>
      <c r="F72" s="761"/>
      <c r="G72" s="761"/>
      <c r="H72" s="761"/>
      <c r="I72" s="761"/>
    </row>
    <row r="73" spans="1:9" ht="20.100000000000001" customHeight="1">
      <c r="A73" s="761"/>
      <c r="B73" s="761"/>
      <c r="C73" s="761"/>
      <c r="D73" s="761"/>
      <c r="E73" s="761"/>
      <c r="F73" s="761"/>
      <c r="G73" s="761"/>
      <c r="H73" s="761"/>
      <c r="I73" s="761"/>
    </row>
    <row r="74" spans="1:9" ht="20.100000000000001" customHeight="1">
      <c r="A74" s="761"/>
      <c r="B74" s="761"/>
      <c r="C74" s="761"/>
      <c r="D74" s="761"/>
      <c r="E74" s="761"/>
      <c r="F74" s="761"/>
      <c r="G74" s="761"/>
      <c r="H74" s="761"/>
      <c r="I74" s="761"/>
    </row>
    <row r="75" spans="1:9" ht="20.100000000000001" customHeight="1">
      <c r="A75" s="761"/>
      <c r="B75" s="761"/>
      <c r="C75" s="761"/>
      <c r="D75" s="761"/>
      <c r="E75" s="761"/>
      <c r="F75" s="761"/>
      <c r="G75" s="761"/>
      <c r="H75" s="761"/>
      <c r="I75" s="761"/>
    </row>
    <row r="76" spans="1:9" ht="20.100000000000001" customHeight="1">
      <c r="A76" s="761"/>
      <c r="B76" s="761"/>
      <c r="C76" s="761"/>
      <c r="D76" s="761"/>
      <c r="E76" s="761"/>
      <c r="F76" s="761"/>
      <c r="G76" s="761"/>
      <c r="H76" s="761"/>
      <c r="I76" s="761"/>
    </row>
    <row r="77" spans="1:9" ht="20.100000000000001" customHeight="1">
      <c r="A77" s="761"/>
      <c r="B77" s="761"/>
      <c r="C77" s="761"/>
      <c r="D77" s="761"/>
      <c r="E77" s="761"/>
      <c r="F77" s="761"/>
      <c r="G77" s="761"/>
      <c r="H77" s="761"/>
      <c r="I77" s="761"/>
    </row>
    <row r="78" spans="1:9" ht="20.100000000000001" customHeight="1">
      <c r="A78" s="761"/>
      <c r="B78" s="761"/>
      <c r="C78" s="761"/>
      <c r="D78" s="761"/>
      <c r="E78" s="761"/>
      <c r="F78" s="761"/>
      <c r="G78" s="761"/>
      <c r="H78" s="761"/>
      <c r="I78" s="761"/>
    </row>
    <row r="79" spans="1:9" ht="20.100000000000001" customHeight="1"/>
    <row r="80" spans="1:9"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sheetData>
  <sheetProtection sheet="1" objects="1" scenarios="1"/>
  <mergeCells count="3">
    <mergeCell ref="B3:C3"/>
    <mergeCell ref="A2:I2"/>
    <mergeCell ref="A32:I32"/>
  </mergeCells>
  <conditionalFormatting sqref="C6:I6 B3:C3 C9:I9">
    <cfRule type="cellIs" dxfId="105" priority="1" stopIfTrue="1" operator="equal">
      <formula>0</formula>
    </cfRule>
  </conditionalFormatting>
  <dataValidations count="3">
    <dataValidation type="list" allowBlank="1" showInputMessage="1" showErrorMessage="1" sqref="A11">
      <formula1>"Steuererstattung, Erbschaft, Schenkung, Abfindung, Zinseinnahmen, Lotteriegewinn, sonstige Einmalzahlung"</formula1>
    </dataValidation>
    <dataValidation type="list" allowBlank="1" showInputMessage="1" showErrorMessage="1" sqref="A14">
      <formula1>"Weihnachtsgeld brutto, Urlaubsgeld brutto, Tarifliche Einmalzahlung brutto, Jubiläumszuwendung brutto, Leistungsprämie brutto, sonstige Einmalzahlung brutto"</formula1>
    </dataValidation>
    <dataValidation type="list" allowBlank="1" showInputMessage="1" showErrorMessage="1" sqref="A15">
      <formula1>"Weihnachtsgeld netto, Urlaubsgeld netto, Tarifliche Einmalzahlung netto, Jubiläumszuwendung netto, Leistungsprämie netto, sonstige Einmalzahlung netto"</formula1>
    </dataValidation>
  </dataValidations>
  <pageMargins left="0.9055118110236221" right="0.51181102362204722" top="0.78740157480314965" bottom="0.39370078740157483" header="0.31496062992125984" footer="0.31496062992125984"/>
  <pageSetup paperSize="9" scale="60" orientation="portrait" horizontalDpi="4294967293" verticalDpi="4294967293" r:id="rId1"/>
</worksheet>
</file>

<file path=xl/worksheets/sheet11.xml><?xml version="1.0" encoding="utf-8"?>
<worksheet xmlns="http://schemas.openxmlformats.org/spreadsheetml/2006/main" xmlns:r="http://schemas.openxmlformats.org/officeDocument/2006/relationships">
  <dimension ref="A1:M346"/>
  <sheetViews>
    <sheetView showGridLines="0" showRowColHeaders="0" showZeros="0" zoomScale="120" zoomScaleNormal="120" workbookViewId="0">
      <selection activeCell="A2" sqref="A2:I2"/>
    </sheetView>
  </sheetViews>
  <sheetFormatPr baseColWidth="10" defaultColWidth="11.42578125" defaultRowHeight="16.5"/>
  <cols>
    <col min="1" max="1" width="33.28515625" style="205" customWidth="1"/>
    <col min="2" max="2" width="16.7109375" style="205" customWidth="1"/>
    <col min="3" max="3" width="12.85546875" style="205" customWidth="1"/>
    <col min="4" max="6" width="13" style="205" customWidth="1"/>
    <col min="7" max="7" width="12.5703125" style="205" customWidth="1"/>
    <col min="8" max="8" width="12.7109375" style="205" customWidth="1"/>
    <col min="9" max="9" width="13.42578125" style="205" customWidth="1"/>
    <col min="10" max="16384" width="11.42578125" style="205"/>
  </cols>
  <sheetData>
    <row r="1" spans="1:11" ht="20.25" customHeight="1" thickBot="1">
      <c r="H1" s="606"/>
      <c r="I1" s="605"/>
    </row>
    <row r="2" spans="1:11" ht="36" customHeight="1">
      <c r="A2" s="2162" t="s">
        <v>275</v>
      </c>
      <c r="B2" s="2163"/>
      <c r="C2" s="2163"/>
      <c r="D2" s="2163"/>
      <c r="E2" s="2163"/>
      <c r="F2" s="2163"/>
      <c r="G2" s="2163"/>
      <c r="H2" s="2163"/>
      <c r="I2" s="2164"/>
      <c r="J2" s="206"/>
      <c r="K2" s="206"/>
    </row>
    <row r="3" spans="1:11" ht="19.5" thickBot="1">
      <c r="A3" s="238" t="s">
        <v>4</v>
      </c>
      <c r="B3" s="2107">
        <f>AB!B2</f>
        <v>0</v>
      </c>
      <c r="C3" s="2108"/>
      <c r="D3" s="239" t="s">
        <v>33</v>
      </c>
      <c r="E3" s="338">
        <f>AB!E2</f>
        <v>43344</v>
      </c>
      <c r="F3" s="263" t="s">
        <v>103</v>
      </c>
      <c r="G3" s="339">
        <f>AB!F2</f>
        <v>43373</v>
      </c>
      <c r="H3" s="240"/>
      <c r="I3" s="241"/>
      <c r="J3" s="206"/>
      <c r="K3" s="206"/>
    </row>
    <row r="4" spans="1:11" ht="17.25" thickBot="1">
      <c r="J4" s="206"/>
      <c r="K4" s="206"/>
    </row>
    <row r="5" spans="1:11" ht="23.25">
      <c r="A5" s="221"/>
      <c r="B5" s="345" t="s">
        <v>0</v>
      </c>
      <c r="C5" s="222"/>
      <c r="D5" s="222"/>
      <c r="E5" s="222"/>
      <c r="F5" s="222"/>
      <c r="G5" s="222"/>
      <c r="H5" s="222"/>
      <c r="I5" s="223"/>
    </row>
    <row r="6" spans="1:11" ht="20.25" customHeight="1">
      <c r="A6" s="224"/>
      <c r="B6" s="341" t="s">
        <v>1</v>
      </c>
      <c r="C6" s="341" t="str">
        <f>AB!C4</f>
        <v>Antragsteller</v>
      </c>
      <c r="D6" s="341" t="str">
        <f>AB!D4</f>
        <v>Partner(in)</v>
      </c>
      <c r="E6" s="341" t="str">
        <f>AB!E4</f>
        <v>Kind 1</v>
      </c>
      <c r="F6" s="341" t="s">
        <v>8</v>
      </c>
      <c r="G6" s="341" t="s">
        <v>9</v>
      </c>
      <c r="H6" s="341" t="s">
        <v>10</v>
      </c>
      <c r="I6" s="342" t="s">
        <v>34</v>
      </c>
    </row>
    <row r="7" spans="1:11">
      <c r="A7" s="224" t="s">
        <v>35</v>
      </c>
      <c r="B7" s="300">
        <f>AB!B6</f>
        <v>1</v>
      </c>
      <c r="C7" s="301">
        <f>AB!C6</f>
        <v>0</v>
      </c>
      <c r="D7" s="301">
        <f>AB!D6</f>
        <v>0</v>
      </c>
      <c r="E7" s="301">
        <f>AB!E6</f>
        <v>0</v>
      </c>
      <c r="F7" s="301">
        <f>AB!F6</f>
        <v>0</v>
      </c>
      <c r="G7" s="301">
        <f>AB!G6</f>
        <v>0</v>
      </c>
      <c r="H7" s="301">
        <f>AB!H6</f>
        <v>0</v>
      </c>
      <c r="I7" s="302">
        <f>AB!I6</f>
        <v>0</v>
      </c>
    </row>
    <row r="8" spans="1:11" hidden="1">
      <c r="A8" s="224" t="s">
        <v>32</v>
      </c>
      <c r="B8" s="303"/>
      <c r="C8" s="304" t="str">
        <f>AB!E7</f>
        <v>nein</v>
      </c>
      <c r="D8" s="304" t="str">
        <f>AB!F7</f>
        <v>nein</v>
      </c>
      <c r="E8" s="304"/>
      <c r="F8" s="304"/>
      <c r="G8" s="304"/>
      <c r="H8" s="304"/>
      <c r="I8" s="305"/>
    </row>
    <row r="9" spans="1:11">
      <c r="A9" s="224" t="s">
        <v>3</v>
      </c>
      <c r="B9" s="306"/>
      <c r="C9" s="307">
        <f>AB!C22</f>
        <v>0</v>
      </c>
      <c r="D9" s="307">
        <f>AB!D22</f>
        <v>0</v>
      </c>
      <c r="E9" s="307">
        <f>IF(AB!E16=0,AB!E16,AB!E22)</f>
        <v>0</v>
      </c>
      <c r="F9" s="307">
        <f>IF(AB!F16=0,AB!F16,AB!F22)</f>
        <v>0</v>
      </c>
      <c r="G9" s="307">
        <f>IF(AB!G16=0,AB!G16,AB!G22)</f>
        <v>0</v>
      </c>
      <c r="H9" s="307">
        <f>IF(AB!H16=0,AB!H16,AB!H22)</f>
        <v>0</v>
      </c>
      <c r="I9" s="310">
        <f>IF(AB!I16=0,AB!I16,AB!I22)</f>
        <v>0</v>
      </c>
    </row>
    <row r="10" spans="1:11" ht="17.25" thickBot="1">
      <c r="A10" s="225" t="s">
        <v>39</v>
      </c>
      <c r="B10" s="308"/>
      <c r="C10" s="347" t="str">
        <f>AB!C35</f>
        <v>ja</v>
      </c>
      <c r="D10" s="347">
        <f>IF(AB!D33&gt;0,AB!D35,0)</f>
        <v>0</v>
      </c>
      <c r="E10" s="347">
        <f>IF(AB!E33&gt;0,AB!E35,0)</f>
        <v>0</v>
      </c>
      <c r="F10" s="347">
        <f>IF(AB!F33&gt;0,AB!F35,0)</f>
        <v>0</v>
      </c>
      <c r="G10" s="347">
        <f>IF(AB!G33&gt;0,AB!G35,0)</f>
        <v>0</v>
      </c>
      <c r="H10" s="347">
        <f>IF(AB!H33&gt;0,AB!H35,0)</f>
        <v>0</v>
      </c>
      <c r="I10" s="348">
        <f>IF(AB!I33&gt;0,AB!I35,0)</f>
        <v>0</v>
      </c>
    </row>
    <row r="11" spans="1:11">
      <c r="A11" s="360" t="s">
        <v>52</v>
      </c>
      <c r="B11" s="292">
        <f>SUM(C11:I11)</f>
        <v>409</v>
      </c>
      <c r="C11" s="293">
        <f>AB!C33</f>
        <v>409</v>
      </c>
      <c r="D11" s="293">
        <f>AB!D33</f>
        <v>0</v>
      </c>
      <c r="E11" s="293">
        <f>AB!E33</f>
        <v>0</v>
      </c>
      <c r="F11" s="293">
        <f>AB!F33</f>
        <v>0</v>
      </c>
      <c r="G11" s="293">
        <f>AB!G33</f>
        <v>0</v>
      </c>
      <c r="H11" s="293">
        <f>AB!H33</f>
        <v>0</v>
      </c>
      <c r="I11" s="294">
        <f>AB!I33</f>
        <v>0</v>
      </c>
    </row>
    <row r="12" spans="1:11">
      <c r="A12" s="226" t="s">
        <v>19</v>
      </c>
      <c r="B12" s="62"/>
      <c r="C12" s="295"/>
      <c r="D12" s="295"/>
      <c r="E12" s="295"/>
      <c r="F12" s="295"/>
      <c r="G12" s="295"/>
      <c r="H12" s="295"/>
      <c r="I12" s="296"/>
    </row>
    <row r="13" spans="1:11">
      <c r="A13" s="408">
        <f>IF(B13&gt;0,"Schwangerschaft",0)</f>
        <v>0</v>
      </c>
      <c r="B13" s="284">
        <f t="shared" ref="B13:B19" si="0">SUM(C13:I13)</f>
        <v>0</v>
      </c>
      <c r="C13" s="62">
        <f>IF(OR(AB!C37="",C10="nur Mehrbedarf"),0,AB!C45)</f>
        <v>0</v>
      </c>
      <c r="D13" s="62">
        <f>IF(OR(AB!D37="",D10="nur Mehrbedarf"),0,AB!D45)</f>
        <v>0</v>
      </c>
      <c r="E13" s="62">
        <f>IF(AB!E37="",0,AB!E45)</f>
        <v>0</v>
      </c>
      <c r="F13" s="62"/>
      <c r="G13" s="62"/>
      <c r="H13" s="62"/>
      <c r="I13" s="110"/>
    </row>
    <row r="14" spans="1:11">
      <c r="A14" s="408">
        <f>IF(B14&gt;0,"Alleinerziehende",0)</f>
        <v>0</v>
      </c>
      <c r="B14" s="284">
        <f>C14</f>
        <v>0</v>
      </c>
      <c r="C14" s="62">
        <f>IF(C10="nur Mehrbedarf",0,AB!B46)</f>
        <v>0</v>
      </c>
      <c r="D14" s="62"/>
      <c r="E14" s="62"/>
      <c r="F14" s="62"/>
      <c r="G14" s="62"/>
      <c r="H14" s="62"/>
      <c r="I14" s="110"/>
    </row>
    <row r="15" spans="1:11">
      <c r="A15" s="408">
        <f>IF(B15&gt;0,"behinderter Mensch, Teilhabe",0)</f>
        <v>0</v>
      </c>
      <c r="B15" s="284">
        <f t="shared" si="0"/>
        <v>0</v>
      </c>
      <c r="C15" s="62">
        <f>IF(AB!C34="ja",AB!C92,0)</f>
        <v>0</v>
      </c>
      <c r="D15" s="62">
        <f>IF(AB!D34="ja",AB!D92,0)</f>
        <v>0</v>
      </c>
      <c r="E15" s="62">
        <f>IF(AB!E34="ja",AB!E92,0)</f>
        <v>0</v>
      </c>
      <c r="F15" s="62">
        <f>IF(AB!F34="ja",AB!F92,0)</f>
        <v>0</v>
      </c>
      <c r="G15" s="62">
        <f>IF(AB!G34="ja",AB!G92,0)</f>
        <v>0</v>
      </c>
      <c r="H15" s="62">
        <f>IF(AB!H34="ja",AB!H92,0)</f>
        <v>0</v>
      </c>
      <c r="I15" s="110">
        <f>IF(AB!I34="ja",AB!I92,0)</f>
        <v>0</v>
      </c>
    </row>
    <row r="16" spans="1:11">
      <c r="A16" s="408">
        <f>IF(B16&gt;0,"kostenaufwändige Ernährung",0)</f>
        <v>0</v>
      </c>
      <c r="B16" s="284">
        <f t="shared" si="0"/>
        <v>0</v>
      </c>
      <c r="C16" s="62">
        <f>IF(C10="nur Mehrbedarf",0,AB!C93)</f>
        <v>0</v>
      </c>
      <c r="D16" s="62">
        <f>IF(D10="nur Mehrbedarf",0,AB!D93)</f>
        <v>0</v>
      </c>
      <c r="E16" s="62">
        <f>AB!E93</f>
        <v>0</v>
      </c>
      <c r="F16" s="62">
        <f>AB!F93</f>
        <v>0</v>
      </c>
      <c r="G16" s="62">
        <f>AB!G93</f>
        <v>0</v>
      </c>
      <c r="H16" s="62">
        <f>AB!H93</f>
        <v>0</v>
      </c>
      <c r="I16" s="110">
        <f>AB!I93</f>
        <v>0</v>
      </c>
    </row>
    <row r="17" spans="1:11">
      <c r="A17" s="408">
        <f>IF(B17&gt;0,"unabweisbarer, lfd., besond. Bedarf",0)</f>
        <v>0</v>
      </c>
      <c r="B17" s="284">
        <f t="shared" si="0"/>
        <v>0</v>
      </c>
      <c r="C17" s="62">
        <f>IF(C10="nur Mehrbedarf",0,AB!C94)</f>
        <v>0</v>
      </c>
      <c r="D17" s="62">
        <f>IF(D10="nur Mehrbedarf",0,AB!D94)</f>
        <v>0</v>
      </c>
      <c r="E17" s="62">
        <f>AB!E94</f>
        <v>0</v>
      </c>
      <c r="F17" s="62">
        <f>AB!F94</f>
        <v>0</v>
      </c>
      <c r="G17" s="62">
        <f>AB!G94</f>
        <v>0</v>
      </c>
      <c r="H17" s="62">
        <f>AB!H94</f>
        <v>0</v>
      </c>
      <c r="I17" s="110">
        <f>AB!I94</f>
        <v>0</v>
      </c>
    </row>
    <row r="18" spans="1:11">
      <c r="A18" s="408">
        <f>IF(B18&gt;0,"Warmwasser dezentral",0)</f>
        <v>0</v>
      </c>
      <c r="B18" s="284">
        <f t="shared" si="0"/>
        <v>0</v>
      </c>
      <c r="C18" s="62">
        <f>AB!C98</f>
        <v>0</v>
      </c>
      <c r="D18" s="62">
        <f>AB!D98</f>
        <v>0</v>
      </c>
      <c r="E18" s="62">
        <f>AB!E98</f>
        <v>0</v>
      </c>
      <c r="F18" s="62">
        <f>AB!F98</f>
        <v>0</v>
      </c>
      <c r="G18" s="62">
        <f>AB!G98</f>
        <v>0</v>
      </c>
      <c r="H18" s="62">
        <f>AB!H98</f>
        <v>0</v>
      </c>
      <c r="I18" s="110">
        <f>AB!I98</f>
        <v>0</v>
      </c>
    </row>
    <row r="19" spans="1:11">
      <c r="A19" s="408">
        <f>IF(B19&gt;0,"erwerbsunfähig, Merkzeichen G",0)</f>
        <v>0</v>
      </c>
      <c r="B19" s="284">
        <f t="shared" si="0"/>
        <v>0</v>
      </c>
      <c r="C19" s="62">
        <f>IF(AB!C34="nein",AB!C100,0)</f>
        <v>0</v>
      </c>
      <c r="D19" s="62">
        <f>IF(AB!D34="nein",AB!D100,0)</f>
        <v>0</v>
      </c>
      <c r="E19" s="62">
        <f>IF(AB!E34="nein",AB!E100,0)</f>
        <v>0</v>
      </c>
      <c r="F19" s="62">
        <f>IF(AB!F34="nein",AB!F100,0)</f>
        <v>0</v>
      </c>
      <c r="G19" s="62">
        <f>IF(AB!G34="nein",AB!G100,0)</f>
        <v>0</v>
      </c>
      <c r="H19" s="62">
        <f>IF(AB!H34="nein",AB!H100,0)</f>
        <v>0</v>
      </c>
      <c r="I19" s="110">
        <f>IF(AB!I34="nein",AB!I100,0)</f>
        <v>0</v>
      </c>
    </row>
    <row r="20" spans="1:11" ht="18" customHeight="1">
      <c r="A20" s="228" t="s">
        <v>13</v>
      </c>
      <c r="B20" s="62"/>
      <c r="C20" s="309"/>
      <c r="D20" s="309"/>
      <c r="E20" s="309"/>
      <c r="F20" s="295"/>
      <c r="G20" s="295"/>
      <c r="H20" s="295"/>
      <c r="I20" s="296"/>
    </row>
    <row r="21" spans="1:11" hidden="1">
      <c r="A21" s="243"/>
      <c r="B21" s="62">
        <f>AB!C102</f>
        <v>0</v>
      </c>
      <c r="C21" s="62">
        <f>B21/B7</f>
        <v>0</v>
      </c>
      <c r="D21" s="62">
        <f>IF(D9=0,0,B21/B7)</f>
        <v>0</v>
      </c>
      <c r="E21" s="62">
        <f>IF(AB!E33=0,0,B21/B7)</f>
        <v>0</v>
      </c>
      <c r="F21" s="62">
        <f>IF(AB!F33=0,0,B21/B7)</f>
        <v>0</v>
      </c>
      <c r="G21" s="62">
        <f>IF(AB!G33=0,0,B21/B7)</f>
        <v>0</v>
      </c>
      <c r="H21" s="62">
        <f>IF(AB!H33=0,0,B21/B7)</f>
        <v>0</v>
      </c>
      <c r="I21" s="110">
        <f>IF(AB!I33=0,0,B21/B7)</f>
        <v>0</v>
      </c>
    </row>
    <row r="22" spans="1:11" hidden="1">
      <c r="A22" s="229"/>
      <c r="B22" s="62">
        <f>SUM(C22:I22)</f>
        <v>0</v>
      </c>
      <c r="C22" s="62">
        <f>C21</f>
        <v>0</v>
      </c>
      <c r="D22" s="62">
        <f>D21</f>
        <v>0</v>
      </c>
      <c r="E22" s="62">
        <f>IF(AB!E8&gt;AB!E2,E21*AB!E14/30,IF(AB!E18=25,E21*AB!E10/30,E21))</f>
        <v>0</v>
      </c>
      <c r="F22" s="62">
        <f>IF(AB!F8&gt;AB!E2,F21*AB!F14/30,IF(AB!F18=25,F21*AB!F10/30,F21))</f>
        <v>0</v>
      </c>
      <c r="G22" s="62">
        <f>IF(AB!G8&gt;AB!E2,G21*AB!G14/30,IF(AB!G18=25,G21*AB!G10/30,G21))</f>
        <v>0</v>
      </c>
      <c r="H22" s="62">
        <f>IF(AB!H8&gt;AB!E2,H21*AB!H14/30,IF(AB!H18=25,H21*AB!H10/30,H21))</f>
        <v>0</v>
      </c>
      <c r="I22" s="110">
        <f>IF(AB!I8&gt;AB!E2,I21*AB!I14/30,IF(AB!I18=25,I21*AB!I10/30,I21))</f>
        <v>0</v>
      </c>
      <c r="K22" s="359">
        <f>COUNTIF(C22:I22,C22)</f>
        <v>7</v>
      </c>
    </row>
    <row r="23" spans="1:11" hidden="1">
      <c r="A23" s="243"/>
      <c r="B23" s="62">
        <f>SUM(C23:I23)</f>
        <v>0</v>
      </c>
      <c r="C23" s="62">
        <f>IF(AND(B22&lt;B21,C22=C21,C22&gt;0),C21+(B21-B22)/K22,C22)</f>
        <v>0</v>
      </c>
      <c r="D23" s="62">
        <f>IF(AND(B22&lt;B21,D22=D21,D22&gt;0),D21+(B21-B22)/K22,D22)</f>
        <v>0</v>
      </c>
      <c r="E23" s="62">
        <f>IF(AND(B22&lt;B21,E22=E21,E22&gt;0),E21+(B21-B22)/K22,E22)</f>
        <v>0</v>
      </c>
      <c r="F23" s="62">
        <f>IF(AND(B22&lt;B21,F22=F21,F22&gt;0),F21+(B21-B22)/K22,F22)</f>
        <v>0</v>
      </c>
      <c r="G23" s="62">
        <f>IF(AND(B22&lt;B21,G22=G21,G22&gt;0),G21+(B21-B22)/K22,G22)</f>
        <v>0</v>
      </c>
      <c r="H23" s="62">
        <f>IF(AND(B22&lt;B21,H22=H21,H22&gt;0),H21+(B21-B22)/K22,H22)</f>
        <v>0</v>
      </c>
      <c r="I23" s="110">
        <f>IF(AND(B22&lt;B21,I22=I21,I22&gt;0),I21+(B21-B22)/K22,I22)</f>
        <v>0</v>
      </c>
    </row>
    <row r="24" spans="1:11">
      <c r="A24" s="409">
        <f>IF(B24&gt;0,AB!A102,0)</f>
        <v>0</v>
      </c>
      <c r="B24" s="284">
        <f>SUM(C24:I24)</f>
        <v>0</v>
      </c>
      <c r="C24" s="62">
        <f>IF(AB!$K$18&gt;0,C22,C23)</f>
        <v>0</v>
      </c>
      <c r="D24" s="62">
        <f>IF(AB!$K$18&gt;0,D22,D23)</f>
        <v>0</v>
      </c>
      <c r="E24" s="62">
        <f>IF(AB!$K$18&gt;0,E22,E23)</f>
        <v>0</v>
      </c>
      <c r="F24" s="62">
        <f>IF(AB!$K$18&gt;0,F22,F23)</f>
        <v>0</v>
      </c>
      <c r="G24" s="62">
        <f>IF(AB!$K$18&gt;0,G22,G23)</f>
        <v>0</v>
      </c>
      <c r="H24" s="62">
        <f>IF(AB!$K$18&gt;0,H22,H23)</f>
        <v>0</v>
      </c>
      <c r="I24" s="110">
        <f>IF(AB!$K$18&gt;0,I22,I23)</f>
        <v>0</v>
      </c>
    </row>
    <row r="25" spans="1:11" hidden="1">
      <c r="A25" s="556" t="str">
        <f>AB!A103</f>
        <v>weitere Kosten</v>
      </c>
      <c r="B25" s="62">
        <f>AB!C103</f>
        <v>0</v>
      </c>
      <c r="C25" s="62">
        <f>B25/B7</f>
        <v>0</v>
      </c>
      <c r="D25" s="62">
        <f>IF(D9="",0,B25/B7)</f>
        <v>0</v>
      </c>
      <c r="E25" s="62">
        <f>IF(E9="",0,B25/B7)</f>
        <v>0</v>
      </c>
      <c r="F25" s="62">
        <f>IF(F9="",0,B25/B7)</f>
        <v>0</v>
      </c>
      <c r="G25" s="62">
        <f>IF(G9="",0,B25/B7)</f>
        <v>0</v>
      </c>
      <c r="H25" s="62">
        <f>IF(H9="",0,B25/B7)</f>
        <v>0</v>
      </c>
      <c r="I25" s="110">
        <f>IF(I9="",0,B25/B7)</f>
        <v>0</v>
      </c>
    </row>
    <row r="26" spans="1:11" hidden="1">
      <c r="A26" s="411"/>
      <c r="B26" s="62">
        <f>AB!C104</f>
        <v>0</v>
      </c>
      <c r="C26" s="62">
        <f>B26/B7</f>
        <v>0</v>
      </c>
      <c r="D26" s="62">
        <f>IF(D9=0,0,B26/B7)</f>
        <v>0</v>
      </c>
      <c r="E26" s="62">
        <f>IF(AB!E33=0,0,B26/B7)</f>
        <v>0</v>
      </c>
      <c r="F26" s="62">
        <f>IF(AB!F33=0,0,B26/B7)</f>
        <v>0</v>
      </c>
      <c r="G26" s="62">
        <f>IF(AB!G33=0,0,B26/B7)</f>
        <v>0</v>
      </c>
      <c r="H26" s="62">
        <f>IF(AB!H33=0,0,B26/B7)</f>
        <v>0</v>
      </c>
      <c r="I26" s="110">
        <f>IF(AB!I33=0,0,B26/B7)</f>
        <v>0</v>
      </c>
    </row>
    <row r="27" spans="1:11" hidden="1">
      <c r="A27" s="409"/>
      <c r="B27" s="62">
        <f>SUM(C27:I27)</f>
        <v>0</v>
      </c>
      <c r="C27" s="62">
        <f>C26</f>
        <v>0</v>
      </c>
      <c r="D27" s="62">
        <f>D26</f>
        <v>0</v>
      </c>
      <c r="E27" s="62">
        <f>IF(AB!E8&gt;AB!E2,E26*AB!E14/30,IF(AB!E18=25,E26*AB!E10/30,E26))</f>
        <v>0</v>
      </c>
      <c r="F27" s="62">
        <f>IF(AB!F8&gt;AB!E2,F26*AB!F14/30,IF(AB!F18=25,F26*AB!F10/30,F26))</f>
        <v>0</v>
      </c>
      <c r="G27" s="62">
        <f>IF(AB!G8&gt;AB!E2,G26*AB!G14/30,IF(AB!G18=25,G26*AB!G10/30,G26))</f>
        <v>0</v>
      </c>
      <c r="H27" s="62">
        <f>IF(AB!H8&gt;AB!E2,H26*AB!H14/30,IF(AB!H18=25,H26*AB!H10/30,H26))</f>
        <v>0</v>
      </c>
      <c r="I27" s="110">
        <f>IF(AB!I8&gt;AB!E2,I26*AB!I14/30,IF(AB!I18=25,I26*AB!I10/30,I26))</f>
        <v>0</v>
      </c>
      <c r="K27" s="359">
        <f>COUNTIF(C27:I27,C27)</f>
        <v>7</v>
      </c>
    </row>
    <row r="28" spans="1:11" hidden="1">
      <c r="A28" s="411"/>
      <c r="B28" s="62">
        <f>SUM(C28:I28)</f>
        <v>0</v>
      </c>
      <c r="C28" s="62">
        <f>IF(AND(B27&lt;B26,C27=C26,C27&gt;0),C26+(B26-B27)/K27,C27)</f>
        <v>0</v>
      </c>
      <c r="D28" s="62">
        <f>IF(AND(B27&lt;B26,D27=D26,D27&gt;0),D26+(B26-B27)/K27,D27)</f>
        <v>0</v>
      </c>
      <c r="E28" s="62">
        <f>IF(AND(B27&lt;B26,E27=E26,E27&gt;0),E26+(B26-B27)/K27,E27)</f>
        <v>0</v>
      </c>
      <c r="F28" s="62">
        <f>IF(AND(B27&lt;B26,F27=F26,F27&gt;0),F26+(B26-B27)/K27,F27)</f>
        <v>0</v>
      </c>
      <c r="G28" s="62">
        <f>IF(AND(B27&lt;B26,G27=G26,G27&gt;0),G26+(B26-B27)/K27,G27)</f>
        <v>0</v>
      </c>
      <c r="H28" s="62">
        <f>IF(AND(B27&lt;B26,H27=H26,H27&gt;0),H26+(B26-B27)/K27,H27)</f>
        <v>0</v>
      </c>
      <c r="I28" s="110">
        <f>IF(AND(B27&lt;B26,I27=I26,I27&gt;0),I26+(B26-B27)/K27,I27)</f>
        <v>0</v>
      </c>
    </row>
    <row r="29" spans="1:11">
      <c r="A29" s="409">
        <f>IF(B29&gt;0,AB!A104,0)</f>
        <v>0</v>
      </c>
      <c r="B29" s="284">
        <f>SUM(C29:I29)</f>
        <v>0</v>
      </c>
      <c r="C29" s="62">
        <f>IF(AB!$K$18&gt;0,C27,C28)</f>
        <v>0</v>
      </c>
      <c r="D29" s="62">
        <f>IF(AB!$K$18&gt;0,D27,D28)</f>
        <v>0</v>
      </c>
      <c r="E29" s="62">
        <f>IF(AB!$K$18&gt;0,E27,E28)</f>
        <v>0</v>
      </c>
      <c r="F29" s="62">
        <f>IF(AB!$K$18&gt;0,F27,F28)</f>
        <v>0</v>
      </c>
      <c r="G29" s="62">
        <f>IF(AB!$K$18&gt;0,G27,G28)</f>
        <v>0</v>
      </c>
      <c r="H29" s="62">
        <f>IF(AB!$K$18&gt;0,H27,H28)</f>
        <v>0</v>
      </c>
      <c r="I29" s="110">
        <f>IF(AB!$K$18&gt;0,I27,I28)</f>
        <v>0</v>
      </c>
    </row>
    <row r="30" spans="1:11" hidden="1">
      <c r="A30" s="411"/>
      <c r="B30" s="62">
        <f>AB!C105</f>
        <v>0</v>
      </c>
      <c r="C30" s="62">
        <f>B30/B7</f>
        <v>0</v>
      </c>
      <c r="D30" s="62">
        <f>IF(D9=0,0,B30/B7)</f>
        <v>0</v>
      </c>
      <c r="E30" s="62">
        <f>IF(AB!E33=0,0,B30/B7)</f>
        <v>0</v>
      </c>
      <c r="F30" s="62">
        <f>IF(AB!F33=0,0,B30/B7)</f>
        <v>0</v>
      </c>
      <c r="G30" s="62">
        <f>IF(AB!G33=0,0,B30/B7)</f>
        <v>0</v>
      </c>
      <c r="H30" s="62">
        <f>IF(AB!H33=0,0,B30/B7)</f>
        <v>0</v>
      </c>
      <c r="I30" s="110">
        <f>IF(AB!I33=0,0,B30/B7)</f>
        <v>0</v>
      </c>
    </row>
    <row r="31" spans="1:11" hidden="1">
      <c r="A31" s="409"/>
      <c r="B31" s="62">
        <f>SUM(C31:I31)</f>
        <v>0</v>
      </c>
      <c r="C31" s="62">
        <f>C30</f>
        <v>0</v>
      </c>
      <c r="D31" s="62">
        <f>D30</f>
        <v>0</v>
      </c>
      <c r="E31" s="62">
        <f>IF(AB!E8&gt;AB!E2,E30*AB!E14/30,IF(AB!E18=25,E30*AB!E10/30,E30))</f>
        <v>0</v>
      </c>
      <c r="F31" s="62">
        <f>IF(AB!F8&gt;AB!E2,F30*AB!F14/30,IF(AB!F18=25,F30*AB!F10/30,F30))</f>
        <v>0</v>
      </c>
      <c r="G31" s="62">
        <f>IF(AB!G8&gt;AB!E2,G30*AB!G14/30,IF(AB!G18=25,G30*AB!G10/30,G30))</f>
        <v>0</v>
      </c>
      <c r="H31" s="62">
        <f>IF(AB!H8&gt;AB!E2,H30*AB!H14/30,IF(AB!H18=25,H30*AB!H10/30,H30))</f>
        <v>0</v>
      </c>
      <c r="I31" s="110">
        <f>IF(AB!I8&gt;AB!E2,I30*AB!I14/30,IF(AB!I18=25,I30*AB!I10/30,I30))</f>
        <v>0</v>
      </c>
      <c r="K31" s="359">
        <f>COUNTIF(C31:I31,C31)</f>
        <v>7</v>
      </c>
    </row>
    <row r="32" spans="1:11" hidden="1">
      <c r="A32" s="411"/>
      <c r="B32" s="62">
        <f>SUM(C32:I32)</f>
        <v>0</v>
      </c>
      <c r="C32" s="62">
        <f>IF(AND(B31&lt;B30,C31=C30,C31&gt;0),C30+(B30-B31)/K31,C31)</f>
        <v>0</v>
      </c>
      <c r="D32" s="62">
        <f>IF(AND(B31&lt;B30,D31=D30,D31&gt;0),D30+(B30-B31)/K31,D31)</f>
        <v>0</v>
      </c>
      <c r="E32" s="62">
        <f>IF(AND(B31&lt;B30,E31=E30,E31&gt;0),E30+(B30-B31)/K31,E31)</f>
        <v>0</v>
      </c>
      <c r="F32" s="62">
        <f>IF(AND(B31&lt;B30,F31=F30,F31&gt;0),F30+(B30-B31)/K31,F31)</f>
        <v>0</v>
      </c>
      <c r="G32" s="62">
        <f>IF(AND(B31&lt;B30,G31=G30,G31&gt;0),G30+(B30-B31)/K31,G31)</f>
        <v>0</v>
      </c>
      <c r="H32" s="62">
        <f>IF(AND(B31&lt;B30,H31=H30,H31&gt;0),H30+(B30-B31)/K31,H31)</f>
        <v>0</v>
      </c>
      <c r="I32" s="110">
        <f>IF(AND(B31&lt;B30,I31=I30,I31&gt;0),I30+(B30-B31)/K31,I31)</f>
        <v>0</v>
      </c>
    </row>
    <row r="33" spans="1:11">
      <c r="A33" s="409">
        <f>IF(B33&gt;0,AB!A105,0)</f>
        <v>0</v>
      </c>
      <c r="B33" s="284">
        <f>SUM(C33:I33)</f>
        <v>0</v>
      </c>
      <c r="C33" s="62">
        <f>IF(AB!$K$18&gt;0,C31,C32)</f>
        <v>0</v>
      </c>
      <c r="D33" s="62">
        <f>IF(AB!$K$18&gt;0,D31,D32)</f>
        <v>0</v>
      </c>
      <c r="E33" s="62">
        <f>IF(AB!$K$18&gt;0,E31,E32)</f>
        <v>0</v>
      </c>
      <c r="F33" s="62">
        <f>IF(AB!$K$18&gt;0,F31,F32)</f>
        <v>0</v>
      </c>
      <c r="G33" s="62">
        <f>IF(AB!$K$18&gt;0,G31,G32)</f>
        <v>0</v>
      </c>
      <c r="H33" s="62">
        <f>IF(AB!$K$18&gt;0,H31,H32)</f>
        <v>0</v>
      </c>
      <c r="I33" s="110">
        <f>IF(AB!$K$18&gt;0,I31,I32)</f>
        <v>0</v>
      </c>
    </row>
    <row r="34" spans="1:11" hidden="1">
      <c r="A34" s="411"/>
      <c r="B34" s="62">
        <f>AB!C106</f>
        <v>0</v>
      </c>
      <c r="C34" s="62">
        <f>B34/B7</f>
        <v>0</v>
      </c>
      <c r="D34" s="62">
        <f>IF(D9=0,0,B34/B7)</f>
        <v>0</v>
      </c>
      <c r="E34" s="62">
        <f>IF(AB!E33=0,0,B34/B7)</f>
        <v>0</v>
      </c>
      <c r="F34" s="62">
        <f>IF(AB!F33=0,0,B34/B7)</f>
        <v>0</v>
      </c>
      <c r="G34" s="62">
        <f>IF(AB!G33=0,0,B34/B7)</f>
        <v>0</v>
      </c>
      <c r="H34" s="62">
        <f>IF(AB!H33=0,0,B34/B7)</f>
        <v>0</v>
      </c>
      <c r="I34" s="110">
        <f>IF(AB!I33=0,0,B34/B7)</f>
        <v>0</v>
      </c>
    </row>
    <row r="35" spans="1:11" hidden="1">
      <c r="A35" s="409"/>
      <c r="B35" s="62">
        <f t="shared" ref="B35:B42" si="1">SUM(C35:I35)</f>
        <v>0</v>
      </c>
      <c r="C35" s="62">
        <f>C34</f>
        <v>0</v>
      </c>
      <c r="D35" s="62">
        <f>D34</f>
        <v>0</v>
      </c>
      <c r="E35" s="62">
        <f>IF(AB!E8&gt;AB!E2,E34*AB!E14/30,IF(AB!E18=25,E34*AB!E10/30,E34))</f>
        <v>0</v>
      </c>
      <c r="F35" s="62">
        <f>IF(AB!F8&gt;AB!E2,F34*AB!F14/30,IF(AB!F18=25,F34*AB!F10/30,F34))</f>
        <v>0</v>
      </c>
      <c r="G35" s="62">
        <f>IF(AB!G8&gt;AB!E2,G34*AB!G14/30,IF(AB!G18=25,G34*AB!G10/30,G34))</f>
        <v>0</v>
      </c>
      <c r="H35" s="62">
        <f>IF(AB!H8&gt;AB!E2,H34*AB!H14/30,IF(AB!H18=25,H34*AB!H10/30,H34))</f>
        <v>0</v>
      </c>
      <c r="I35" s="110">
        <f>IF(AB!I8&gt;AB!E2,I34*AB!I14/30,IF(AB!I18=25,I34*AB!I10/30,I34))</f>
        <v>0</v>
      </c>
      <c r="K35" s="359">
        <f>COUNTIF(C35:I35,C35)</f>
        <v>7</v>
      </c>
    </row>
    <row r="36" spans="1:11" hidden="1">
      <c r="A36" s="411"/>
      <c r="B36" s="62">
        <f t="shared" si="1"/>
        <v>0</v>
      </c>
      <c r="C36" s="62">
        <f>IF(AND(B35&lt;B34,C35=C34,C35&gt;0),C34+(B34-B35)/K35,C35)</f>
        <v>0</v>
      </c>
      <c r="D36" s="62">
        <f>IF(AND(B35&lt;B34,D35=D34,D35&gt;0),D34+(B34-B35)/K35,D35)</f>
        <v>0</v>
      </c>
      <c r="E36" s="62">
        <f>IF(AND(B35&lt;B34,E35=E34,E35&gt;0),E34+(B34-B35)/K35,E35)</f>
        <v>0</v>
      </c>
      <c r="F36" s="62">
        <f>IF(AND(B35&lt;B34,F35=F34,F35&gt;0),F34+(B34-B35)/K35,F35)</f>
        <v>0</v>
      </c>
      <c r="G36" s="62">
        <f>IF(AND(B35&lt;B34,G35=G34,G35&gt;0),G34+(B34-B35)/K35,G35)</f>
        <v>0</v>
      </c>
      <c r="H36" s="62">
        <f>IF(AND(B35&lt;B34,H35=H34,H35&gt;0),H34+(B34-B35)/K35,H35)</f>
        <v>0</v>
      </c>
      <c r="I36" s="110">
        <f>IF(AND(B35&lt;B34,I35=I34,I35&gt;0),I34+(B34-B35)/K35,I35)</f>
        <v>0</v>
      </c>
    </row>
    <row r="37" spans="1:11">
      <c r="A37" s="409">
        <f>IF(B37&gt;0,AB!A106,0)</f>
        <v>0</v>
      </c>
      <c r="B37" s="284">
        <f t="shared" si="1"/>
        <v>0</v>
      </c>
      <c r="C37" s="62">
        <f>IF(AB!$K$18&gt;0,C35,C36)</f>
        <v>0</v>
      </c>
      <c r="D37" s="62">
        <f>IF(AB!$K$18&gt;0,D35,D36)</f>
        <v>0</v>
      </c>
      <c r="E37" s="62">
        <f>IF(AB!$K$18&gt;0,E35,E36)</f>
        <v>0</v>
      </c>
      <c r="F37" s="62">
        <f>IF(AB!$K$18&gt;0,F35,F36)</f>
        <v>0</v>
      </c>
      <c r="G37" s="62">
        <f>IF(AB!$K$18&gt;0,G35,G36)</f>
        <v>0</v>
      </c>
      <c r="H37" s="62">
        <f>IF(AB!$K$18&gt;0,H35,H36)</f>
        <v>0</v>
      </c>
      <c r="I37" s="110">
        <f>IF(AB!$K$18&gt;0,I35,I36)</f>
        <v>0</v>
      </c>
    </row>
    <row r="38" spans="1:11" hidden="1">
      <c r="A38" s="409"/>
      <c r="B38" s="62">
        <f t="shared" si="1"/>
        <v>0</v>
      </c>
      <c r="C38" s="62">
        <f>AB!C114</f>
        <v>0</v>
      </c>
      <c r="D38" s="62">
        <f>AB!D114</f>
        <v>0</v>
      </c>
      <c r="E38" s="62">
        <f>AB!E114</f>
        <v>0</v>
      </c>
      <c r="F38" s="62">
        <f>AB!F114</f>
        <v>0</v>
      </c>
      <c r="G38" s="62">
        <f>AB!G114</f>
        <v>0</v>
      </c>
      <c r="H38" s="62">
        <f>AB!H114</f>
        <v>0</v>
      </c>
      <c r="I38" s="110">
        <f>AB!I114</f>
        <v>0</v>
      </c>
    </row>
    <row r="39" spans="1:11" hidden="1">
      <c r="A39" s="409"/>
      <c r="B39" s="62">
        <f t="shared" si="1"/>
        <v>0</v>
      </c>
      <c r="C39" s="62">
        <f>C38</f>
        <v>0</v>
      </c>
      <c r="D39" s="62">
        <f>D38</f>
        <v>0</v>
      </c>
      <c r="E39" s="62">
        <f>IF(AB!E8&gt;AB!$E$2,E38*AB!E14/30,IF(AB!E18=25,E38*AB!E10/30,E38))</f>
        <v>0</v>
      </c>
      <c r="F39" s="62">
        <f>IF(AB!F8&gt;AB!$E$2,F38*AB!F14/30,IF(AB!F18=25,F38*AB!F10/30,F38))</f>
        <v>0</v>
      </c>
      <c r="G39" s="62">
        <f>IF(AB!G8&gt;AB!$E$2,G38*AB!G14/30,IF(AB!G18=25,G38*AB!G10/30,G38))</f>
        <v>0</v>
      </c>
      <c r="H39" s="62">
        <f>IF(AB!H8&gt;AB!$E$2,H38*AB!H14/30,IF(AB!H18=25,H38*AB!H10/30,H38))</f>
        <v>0</v>
      </c>
      <c r="I39" s="110">
        <f>IF(AB!I8&gt;AB!$E$2,I38*AB!I14/30,IF(AB!I18=25,I38*AB!I10/30,I38))</f>
        <v>0</v>
      </c>
      <c r="K39" s="359">
        <f>COUNTIF(C39:I39,C39)</f>
        <v>7</v>
      </c>
    </row>
    <row r="40" spans="1:11" hidden="1">
      <c r="A40" s="409"/>
      <c r="B40" s="62">
        <f t="shared" si="1"/>
        <v>0</v>
      </c>
      <c r="C40" s="62">
        <f>IF(AND(B39&lt;B38,C39=C38,C39&gt;0),C38+(B38-B39)/K39,C39)</f>
        <v>0</v>
      </c>
      <c r="D40" s="62">
        <f>IF(AND(B39&lt;B38,D39=D38,D39&gt;0),D38+(B38-B39)/K39,D39)</f>
        <v>0</v>
      </c>
      <c r="E40" s="62">
        <f>IF(AND(B39&lt;B38,E39=E38,E39&gt;0),E38+(B38-B39)/K39,E39)</f>
        <v>0</v>
      </c>
      <c r="F40" s="62">
        <f>IF(AND(B39&lt;B38,F39=F38,F39&gt;0),F38+(B38-B39)/K39,F39)</f>
        <v>0</v>
      </c>
      <c r="G40" s="62">
        <f>IF(AND(B39&lt;B38,G39=G38,G39&gt;0),G38+(B38-B39)/K39,G39)</f>
        <v>0</v>
      </c>
      <c r="H40" s="62">
        <f>IF(AND(B39&lt;B38,H39=H38,H39&gt;0),H38+(B38-B39)/K39,H39)</f>
        <v>0</v>
      </c>
      <c r="I40" s="110">
        <f>IF(AND(B39&lt;B38,I39=I38,I39&gt;0),I38+(B38-B39)/K39,I39)</f>
        <v>0</v>
      </c>
    </row>
    <row r="41" spans="1:11" hidden="1">
      <c r="A41" s="411"/>
      <c r="B41" s="62">
        <f t="shared" si="1"/>
        <v>0</v>
      </c>
      <c r="C41" s="62">
        <f>IF(AB!$B$107&gt;0,C40,AB!C114)</f>
        <v>0</v>
      </c>
      <c r="D41" s="62">
        <f>IF(AB!$B$107&gt;0,D40,AB!D114)</f>
        <v>0</v>
      </c>
      <c r="E41" s="62">
        <f>IF(AB!$B$107&gt;0,E40,AB!E114)</f>
        <v>0</v>
      </c>
      <c r="F41" s="62">
        <f>IF(AB!$B$107&gt;0,F40,AB!F114)</f>
        <v>0</v>
      </c>
      <c r="G41" s="62">
        <f>IF(AB!$B$107&gt;0,G40,AB!G114)</f>
        <v>0</v>
      </c>
      <c r="H41" s="62">
        <f>IF(AB!$B$107&gt;0,H40,AB!H114)</f>
        <v>0</v>
      </c>
      <c r="I41" s="110">
        <f>IF(AB!$B$107&gt;0,I40,AB!I114)</f>
        <v>0</v>
      </c>
    </row>
    <row r="42" spans="1:11">
      <c r="A42" s="409">
        <f>IF(B42&gt;0,"./. Kostenanteil für Haushaltsstrom",0)</f>
        <v>0</v>
      </c>
      <c r="B42" s="284">
        <f t="shared" si="1"/>
        <v>0</v>
      </c>
      <c r="C42" s="62">
        <f>IF(AND(AB!$K$18&gt;0,AB!$B$107&gt;0),C39,C41)</f>
        <v>0</v>
      </c>
      <c r="D42" s="62">
        <f>IF(AND(AB!$K$18&gt;0,AB!$B$107&gt;0),D39,D41)</f>
        <v>0</v>
      </c>
      <c r="E42" s="62">
        <f>IF(AND(AB!$K$18&gt;0,AB!$B$107&gt;0),E39,E41)</f>
        <v>0</v>
      </c>
      <c r="F42" s="62">
        <f>IF(AND(AB!$K$18&gt;0,AB!$B$107&gt;0),F39,F41)</f>
        <v>0</v>
      </c>
      <c r="G42" s="62">
        <f>IF(AND(AB!$K$18&gt;0,AB!$B$107&gt;0),G39,G41)</f>
        <v>0</v>
      </c>
      <c r="H42" s="62">
        <f>IF(AND(AB!$K$18&gt;0,AB!$B$107&gt;0),H39,H41)</f>
        <v>0</v>
      </c>
      <c r="I42" s="110">
        <f>IF(AND(AB!$K$18&gt;0,AB!$B$107&gt;0),I39,I41)</f>
        <v>0</v>
      </c>
    </row>
    <row r="43" spans="1:11" hidden="1">
      <c r="A43" s="411"/>
      <c r="B43" s="62">
        <f>AB!C115</f>
        <v>0</v>
      </c>
      <c r="C43" s="62">
        <f>B43/B7</f>
        <v>0</v>
      </c>
      <c r="D43" s="62">
        <f>IF(D9=0,0,B43/B7)</f>
        <v>0</v>
      </c>
      <c r="E43" s="62">
        <f>IF(AB!E33=0,0,B43/B7)</f>
        <v>0</v>
      </c>
      <c r="F43" s="62">
        <f>IF(AB!F33=0,0,B43/B7)</f>
        <v>0</v>
      </c>
      <c r="G43" s="62">
        <f>IF(AB!G33=0,0,B43/B7)</f>
        <v>0</v>
      </c>
      <c r="H43" s="62">
        <f>IF(AB!H33=0,0,B43/B7)</f>
        <v>0</v>
      </c>
      <c r="I43" s="110">
        <f>IF(AB!I33=0,0,B43/B7)</f>
        <v>0</v>
      </c>
    </row>
    <row r="44" spans="1:11" hidden="1">
      <c r="A44" s="409"/>
      <c r="B44" s="62">
        <f>SUM(C44:I44)</f>
        <v>0</v>
      </c>
      <c r="C44" s="62">
        <f>C43</f>
        <v>0</v>
      </c>
      <c r="D44" s="62">
        <f>D43</f>
        <v>0</v>
      </c>
      <c r="E44" s="62">
        <f>IF(AB!E8&gt;AB!E2,E43*AB!E14/30,IF(AB!E18=25,E43*AB!E10/30,E43))</f>
        <v>0</v>
      </c>
      <c r="F44" s="62">
        <f>IF(AB!F8&gt;AB!E2,F43*AB!F14/30,IF(AB!F18=25,F43*AB!F10/30,F43))</f>
        <v>0</v>
      </c>
      <c r="G44" s="62">
        <f>IF(AB!G8&gt;AB!E2,G43*AB!G14/30,IF(AB!G18=25,G43*AB!G10/30,G43))</f>
        <v>0</v>
      </c>
      <c r="H44" s="62">
        <f>IF(AB!H8&gt;AB!E2,H43*AB!H14/30,IF(AB!H18=25,H43*AB!H10/30,H43))</f>
        <v>0</v>
      </c>
      <c r="I44" s="110">
        <f>IF(AB!I8&gt;AB!E2,I43*AB!I14/30,IF(AB!I18=25,I43*AB!I10/30,I43))</f>
        <v>0</v>
      </c>
      <c r="K44" s="359">
        <f>COUNTIF(C44:I44,C44)</f>
        <v>7</v>
      </c>
    </row>
    <row r="45" spans="1:11" hidden="1">
      <c r="A45" s="411"/>
      <c r="B45" s="62">
        <f>SUM(C45:I45)</f>
        <v>0</v>
      </c>
      <c r="C45" s="62">
        <f>IF(AND(B44&lt;B43,C44=C43,C44&gt;0),C43+(B43-B44)/K44,C44)</f>
        <v>0</v>
      </c>
      <c r="D45" s="62">
        <f>IF(AND(B44&lt;B43,D44=D43,D44&gt;0),D43+(B43-B44)/K44,D44)</f>
        <v>0</v>
      </c>
      <c r="E45" s="62">
        <f>IF(AND(B44&lt;B43,E44=E43,E44&gt;0),E43+(B43-B44)/K44,E44)</f>
        <v>0</v>
      </c>
      <c r="F45" s="62">
        <f>IF(AND(B44&lt;B43,F44=F43,F44&gt;0),F43+(B43-B44)/K44,F44)</f>
        <v>0</v>
      </c>
      <c r="G45" s="62">
        <f>IF(AND(B44&lt;B43,G44=G43,G44&gt;0),G43+(B43-B44)/K44,G44)</f>
        <v>0</v>
      </c>
      <c r="H45" s="62">
        <f>IF(AND(B44&lt;B43,H44=H43,H44&gt;0),H43+(B43-B44)/K44,H44)</f>
        <v>0</v>
      </c>
      <c r="I45" s="110">
        <f>IF(AND(B44&lt;B43,I44=I43,I44&gt;0),I43+(B43-B44)/K44,I44)</f>
        <v>0</v>
      </c>
    </row>
    <row r="46" spans="1:11">
      <c r="A46" s="409">
        <f>IF(B46&gt;0,"Heizkosten",0)</f>
        <v>0</v>
      </c>
      <c r="B46" s="284">
        <f>SUM(C46:I46)</f>
        <v>0</v>
      </c>
      <c r="C46" s="62">
        <f>IF(AB!$K$18&gt;0,C44,C45)</f>
        <v>0</v>
      </c>
      <c r="D46" s="62">
        <f>IF(AB!$K$18&gt;0,D44,D45)</f>
        <v>0</v>
      </c>
      <c r="E46" s="62">
        <f>IF(AB!$K$18&gt;0,E44,E45)</f>
        <v>0</v>
      </c>
      <c r="F46" s="62">
        <f>IF(AB!$K$18&gt;0,F44,F45)</f>
        <v>0</v>
      </c>
      <c r="G46" s="62">
        <f>IF(AB!$K$18&gt;0,G44,G45)</f>
        <v>0</v>
      </c>
      <c r="H46" s="62">
        <f>IF(AB!$K$18&gt;0,H44,H45)</f>
        <v>0</v>
      </c>
      <c r="I46" s="110">
        <f>IF(AB!$K$18&gt;0,I44,I45)</f>
        <v>0</v>
      </c>
    </row>
    <row r="47" spans="1:11" hidden="1">
      <c r="A47" s="230" t="s">
        <v>41</v>
      </c>
      <c r="B47" s="209">
        <f>B24-B29+B33+B37-B42+B46</f>
        <v>0</v>
      </c>
      <c r="C47" s="209">
        <f t="shared" ref="C47:I47" si="2">C24-C29+C33+C37-C42+C46</f>
        <v>0</v>
      </c>
      <c r="D47" s="209">
        <f t="shared" si="2"/>
        <v>0</v>
      </c>
      <c r="E47" s="209">
        <f t="shared" si="2"/>
        <v>0</v>
      </c>
      <c r="F47" s="209">
        <f t="shared" si="2"/>
        <v>0</v>
      </c>
      <c r="G47" s="209">
        <f t="shared" si="2"/>
        <v>0</v>
      </c>
      <c r="H47" s="209">
        <f t="shared" si="2"/>
        <v>0</v>
      </c>
      <c r="I47" s="406">
        <f t="shared" si="2"/>
        <v>0</v>
      </c>
    </row>
    <row r="48" spans="1:11" ht="17.25" customHeight="1">
      <c r="A48" s="231">
        <f>IF(B49&gt;0,"Sonstiger Bedarf",0)</f>
        <v>0</v>
      </c>
      <c r="B48" s="13"/>
      <c r="C48" s="207"/>
      <c r="D48" s="207"/>
      <c r="E48" s="207"/>
      <c r="F48" s="207"/>
      <c r="G48" s="207"/>
      <c r="H48" s="207"/>
      <c r="I48" s="227"/>
    </row>
    <row r="49" spans="1:13" ht="16.5" customHeight="1" thickBot="1">
      <c r="A49" s="232">
        <f>IF(B49&gt;0,AB!A117,0)</f>
        <v>0</v>
      </c>
      <c r="B49" s="210">
        <f>SUM(C49:I49)</f>
        <v>0</v>
      </c>
      <c r="C49" s="211">
        <f>AB!C117</f>
        <v>0</v>
      </c>
      <c r="D49" s="211">
        <f>AB!D117</f>
        <v>0</v>
      </c>
      <c r="E49" s="211">
        <f>AB!E117</f>
        <v>0</v>
      </c>
      <c r="F49" s="211">
        <f>AB!F117</f>
        <v>0</v>
      </c>
      <c r="G49" s="211">
        <f>AB!G117</f>
        <v>0</v>
      </c>
      <c r="H49" s="211">
        <f>AB!H117</f>
        <v>0</v>
      </c>
      <c r="I49" s="233">
        <f>AB!I117</f>
        <v>0</v>
      </c>
    </row>
    <row r="50" spans="1:13" ht="23.25" customHeight="1" thickTop="1" thickBot="1">
      <c r="A50" s="343" t="s">
        <v>21</v>
      </c>
      <c r="B50" s="282">
        <f>SUM(C50:I50)</f>
        <v>409</v>
      </c>
      <c r="C50" s="282">
        <f t="shared" ref="C50:I50" si="3">C11+C13+C14+C15+C16+C17+C18+C19+C47+C49</f>
        <v>409</v>
      </c>
      <c r="D50" s="282">
        <f t="shared" si="3"/>
        <v>0</v>
      </c>
      <c r="E50" s="282">
        <f t="shared" si="3"/>
        <v>0</v>
      </c>
      <c r="F50" s="282">
        <f t="shared" si="3"/>
        <v>0</v>
      </c>
      <c r="G50" s="282">
        <f t="shared" si="3"/>
        <v>0</v>
      </c>
      <c r="H50" s="282">
        <f t="shared" si="3"/>
        <v>0</v>
      </c>
      <c r="I50" s="283">
        <f t="shared" si="3"/>
        <v>0</v>
      </c>
    </row>
    <row r="51" spans="1:13" ht="21" customHeight="1" thickBot="1">
      <c r="C51" s="173">
        <f>VLOOKUP(E3,Bedarfssätze!B7:C14,2)</f>
        <v>391</v>
      </c>
      <c r="D51" s="173">
        <f>VLOOKUP(E3,Bedarfssätze!E7:F14,2)</f>
        <v>353</v>
      </c>
      <c r="E51" s="173">
        <f>VLOOKUP(E3,Bedarfssätze!B25:C32,2)</f>
        <v>296</v>
      </c>
      <c r="F51" s="173">
        <f>VLOOKUP(E3,Bedarfssätze!E25:F32,2)</f>
        <v>261</v>
      </c>
      <c r="G51" s="173">
        <f>VLOOKUP(E3,Bedarfssätze!H25:I32,2)</f>
        <v>229</v>
      </c>
      <c r="H51" s="173">
        <f>VLOOKUP(E3,Bedarfssätze!H7:I14,2)</f>
        <v>313</v>
      </c>
    </row>
    <row r="52" spans="1:13" ht="23.25">
      <c r="A52" s="221"/>
      <c r="B52" s="345" t="s">
        <v>22</v>
      </c>
      <c r="C52" s="222"/>
      <c r="D52" s="222"/>
      <c r="E52" s="222"/>
      <c r="F52" s="222"/>
      <c r="G52" s="222"/>
      <c r="H52" s="222"/>
      <c r="I52" s="223"/>
    </row>
    <row r="53" spans="1:13" ht="17.25" customHeight="1">
      <c r="A53" s="224"/>
      <c r="B53" s="341" t="s">
        <v>1</v>
      </c>
      <c r="C53" s="341" t="str">
        <f>AB!C4</f>
        <v>Antragsteller</v>
      </c>
      <c r="D53" s="341" t="str">
        <f>AB!D4</f>
        <v>Partner(in)</v>
      </c>
      <c r="E53" s="341" t="str">
        <f>AB!E4</f>
        <v>Kind 1</v>
      </c>
      <c r="F53" s="341" t="s">
        <v>8</v>
      </c>
      <c r="G53" s="341" t="s">
        <v>9</v>
      </c>
      <c r="H53" s="341" t="s">
        <v>10</v>
      </c>
      <c r="I53" s="342" t="s">
        <v>34</v>
      </c>
    </row>
    <row r="54" spans="1:13" hidden="1">
      <c r="A54" s="231" t="s">
        <v>54</v>
      </c>
      <c r="B54" s="13">
        <f>SUM(C54:I54)</f>
        <v>0</v>
      </c>
      <c r="C54" s="13">
        <f>AB!C140</f>
        <v>0</v>
      </c>
      <c r="D54" s="13">
        <f>AB!D140</f>
        <v>0</v>
      </c>
      <c r="E54" s="13">
        <f>AB!E140</f>
        <v>0</v>
      </c>
      <c r="F54" s="13">
        <f>AB!F140</f>
        <v>0</v>
      </c>
      <c r="G54" s="13">
        <f>AB!G140</f>
        <v>0</v>
      </c>
      <c r="H54" s="13">
        <f>AB!H140</f>
        <v>0</v>
      </c>
      <c r="I54" s="823">
        <f>AB!I140</f>
        <v>0</v>
      </c>
    </row>
    <row r="55" spans="1:13">
      <c r="A55" s="412">
        <f>IF(B55&gt;0,"Nettolohn",0)</f>
        <v>0</v>
      </c>
      <c r="B55" s="284">
        <f>SUM(C55:I55)</f>
        <v>0</v>
      </c>
      <c r="C55" s="62">
        <f>AB!C133</f>
        <v>0</v>
      </c>
      <c r="D55" s="62">
        <f>AB!D133</f>
        <v>0</v>
      </c>
      <c r="E55" s="62">
        <f>AB!E133</f>
        <v>0</v>
      </c>
      <c r="F55" s="62">
        <f>AB!F133</f>
        <v>0</v>
      </c>
      <c r="G55" s="62">
        <f>AB!G133</f>
        <v>0</v>
      </c>
      <c r="H55" s="62">
        <f>AB!H133</f>
        <v>0</v>
      </c>
      <c r="I55" s="110">
        <f>AB!I133</f>
        <v>0</v>
      </c>
    </row>
    <row r="56" spans="1:13">
      <c r="A56" s="412">
        <f>IF(B56&gt;0,"anrechenbares Erwerbseinkommen anderer Monat",0)</f>
        <v>0</v>
      </c>
      <c r="B56" s="284">
        <f>SUM(C56:I56)</f>
        <v>0</v>
      </c>
      <c r="C56" s="62">
        <f>B303</f>
        <v>0</v>
      </c>
      <c r="D56" s="62">
        <f t="shared" ref="D56:I56" si="4">C303</f>
        <v>0</v>
      </c>
      <c r="E56" s="62">
        <f t="shared" si="4"/>
        <v>0</v>
      </c>
      <c r="F56" s="62">
        <f t="shared" si="4"/>
        <v>0</v>
      </c>
      <c r="G56" s="62">
        <f t="shared" si="4"/>
        <v>0</v>
      </c>
      <c r="H56" s="62">
        <f t="shared" si="4"/>
        <v>0</v>
      </c>
      <c r="I56" s="110">
        <f t="shared" si="4"/>
        <v>0</v>
      </c>
      <c r="J56" s="212"/>
    </row>
    <row r="57" spans="1:13" hidden="1">
      <c r="A57" s="763" t="s">
        <v>244</v>
      </c>
      <c r="B57" s="62"/>
      <c r="C57" s="62">
        <f>IF(C60="auf 6 Monate",einmaligesEK!C14/6,einmaligesEK!C14)</f>
        <v>0</v>
      </c>
      <c r="D57" s="62">
        <f>IF(D60="auf 6 Monate",einmaligesEK!D14/6,einmaligesEK!D14)</f>
        <v>0</v>
      </c>
      <c r="E57" s="62">
        <f>IF(E60="auf 6 Monate",einmaligesEK!E14/6,einmaligesEK!E14)</f>
        <v>0</v>
      </c>
      <c r="F57" s="62">
        <f>IF(F60="auf 6 Monate",einmaligesEK!F14/6,einmaligesEK!F14)</f>
        <v>0</v>
      </c>
      <c r="G57" s="62">
        <f>IF(G60="auf 6 Monate",einmaligesEK!G14/6,einmaligesEK!G14)</f>
        <v>0</v>
      </c>
      <c r="H57" s="62">
        <f>IF(H60="auf 6 Monate",einmaligesEK!H14/6,einmaligesEK!H14)</f>
        <v>0</v>
      </c>
      <c r="I57" s="110">
        <f>IF(I60="auf 6 Monate",einmaligesEK!I14/6,einmaligesEK!I14)</f>
        <v>0</v>
      </c>
      <c r="J57" s="212"/>
    </row>
    <row r="58" spans="1:13" hidden="1">
      <c r="A58" s="763" t="s">
        <v>245</v>
      </c>
      <c r="B58" s="764"/>
      <c r="C58" s="764">
        <f>einmaligesEK!C15</f>
        <v>0</v>
      </c>
      <c r="D58" s="764">
        <f>einmaligesEK!D15</f>
        <v>0</v>
      </c>
      <c r="E58" s="764">
        <f>einmaligesEK!E15</f>
        <v>0</v>
      </c>
      <c r="F58" s="764">
        <f>einmaligesEK!F15</f>
        <v>0</v>
      </c>
      <c r="G58" s="764">
        <f>einmaligesEK!G15</f>
        <v>0</v>
      </c>
      <c r="H58" s="764">
        <f>einmaligesEK!H15</f>
        <v>0</v>
      </c>
      <c r="I58" s="824">
        <f>einmaligesEK!I15</f>
        <v>0</v>
      </c>
      <c r="J58" s="212"/>
    </row>
    <row r="59" spans="1:13">
      <c r="A59" s="412">
        <f>IF(B59&gt;0,"Weihnachtsgeld netto",0)</f>
        <v>0</v>
      </c>
      <c r="B59" s="284">
        <f>SUM(C59:I59)</f>
        <v>0</v>
      </c>
      <c r="C59" s="62">
        <f>IF(B!$B$161&lt;=0,(C58-$E252)/6,C58)</f>
        <v>0</v>
      </c>
      <c r="D59" s="62">
        <f>IF(B!$B$161&lt;=0,(D58-E257)/6,D58)</f>
        <v>0</v>
      </c>
      <c r="E59" s="62">
        <f>IF(B!$B$161&lt;=0,(E58-E262)/6,E58)</f>
        <v>0</v>
      </c>
      <c r="F59" s="62">
        <f>IF(B!$B$161&lt;=0,(F58-E267)/6,F58)</f>
        <v>0</v>
      </c>
      <c r="G59" s="62">
        <f>IF(B!$B$161&lt;=0,(G58-E272)/6,G58)</f>
        <v>0</v>
      </c>
      <c r="H59" s="62">
        <f>IF(B!$B$161&lt;=0,(H58-E277)/6,H58)</f>
        <v>0</v>
      </c>
      <c r="I59" s="110">
        <f>IF(B!$B$161&lt;=0,(I58-E282)/6,I58)</f>
        <v>0</v>
      </c>
      <c r="J59" s="212"/>
    </row>
    <row r="60" spans="1:13">
      <c r="A60" s="765">
        <f>IF(AND(B59&gt;0,M60&gt;0),"Hinweis zur Einmalzahlung",0)</f>
        <v>0</v>
      </c>
      <c r="B60" s="766"/>
      <c r="C60" s="862" t="str">
        <f t="shared" ref="C60:I60" si="5">IF(C59&lt;C58,"auf 6 Monate","")</f>
        <v/>
      </c>
      <c r="D60" s="862" t="str">
        <f t="shared" si="5"/>
        <v/>
      </c>
      <c r="E60" s="862" t="str">
        <f t="shared" si="5"/>
        <v/>
      </c>
      <c r="F60" s="862" t="str">
        <f t="shared" si="5"/>
        <v/>
      </c>
      <c r="G60" s="862" t="str">
        <f t="shared" si="5"/>
        <v/>
      </c>
      <c r="H60" s="862" t="str">
        <f t="shared" si="5"/>
        <v/>
      </c>
      <c r="I60" s="863" t="str">
        <f t="shared" si="5"/>
        <v/>
      </c>
      <c r="J60" s="212"/>
      <c r="M60" s="820">
        <f>COUNTIF(C60:I60,"auf 6 Monate")</f>
        <v>0</v>
      </c>
    </row>
    <row r="61" spans="1:13">
      <c r="A61" s="408">
        <f>IF(B61&gt;0,"Ausbildungsvergütung (netto)",0)</f>
        <v>0</v>
      </c>
      <c r="B61" s="284">
        <f t="shared" ref="B61:B77" si="6">SUM(C61:I61)</f>
        <v>0</v>
      </c>
      <c r="C61" s="62">
        <f>AB!C137</f>
        <v>0</v>
      </c>
      <c r="D61" s="62">
        <f>AB!D137</f>
        <v>0</v>
      </c>
      <c r="E61" s="62">
        <f>AB!E137</f>
        <v>0</v>
      </c>
      <c r="F61" s="62">
        <f>AB!F137</f>
        <v>0</v>
      </c>
      <c r="G61" s="62">
        <f>AB!G137</f>
        <v>0</v>
      </c>
      <c r="H61" s="62">
        <f>AB!H137</f>
        <v>0</v>
      </c>
      <c r="I61" s="110">
        <f>AB!I137</f>
        <v>0</v>
      </c>
    </row>
    <row r="62" spans="1:13">
      <c r="A62" s="408">
        <f>IF(B62&gt;0,AB!A139,0)</f>
        <v>0</v>
      </c>
      <c r="B62" s="284">
        <f t="shared" si="6"/>
        <v>0</v>
      </c>
      <c r="C62" s="62">
        <f>AB!C139</f>
        <v>0</v>
      </c>
      <c r="D62" s="62">
        <f>AB!D139</f>
        <v>0</v>
      </c>
      <c r="E62" s="62">
        <f>AB!E139</f>
        <v>0</v>
      </c>
      <c r="F62" s="62">
        <f>AB!F139</f>
        <v>0</v>
      </c>
      <c r="G62" s="62">
        <f>AB!G139</f>
        <v>0</v>
      </c>
      <c r="H62" s="62">
        <f>AB!H139</f>
        <v>0</v>
      </c>
      <c r="I62" s="110">
        <f>AB!I139</f>
        <v>0</v>
      </c>
    </row>
    <row r="63" spans="1:13">
      <c r="A63" s="408">
        <f>IF(B63&gt;0,"steuerfreie Einnahmen Ehrenamt o.ä.",0)</f>
        <v>0</v>
      </c>
      <c r="B63" s="284">
        <f t="shared" si="6"/>
        <v>0</v>
      </c>
      <c r="C63" s="62">
        <f>AB!C138</f>
        <v>0</v>
      </c>
      <c r="D63" s="62">
        <f>AB!D138</f>
        <v>0</v>
      </c>
      <c r="E63" s="62">
        <f>AB!E138</f>
        <v>0</v>
      </c>
      <c r="F63" s="62">
        <f>AB!F138</f>
        <v>0</v>
      </c>
      <c r="G63" s="62">
        <f>AB!G138</f>
        <v>0</v>
      </c>
      <c r="H63" s="62">
        <f>AB!H138</f>
        <v>0</v>
      </c>
      <c r="I63" s="110">
        <f>AB!I138</f>
        <v>0</v>
      </c>
    </row>
    <row r="64" spans="1:13">
      <c r="A64" s="408">
        <f>IF(B64&gt;0,"Einkommen aus Freiwilligendienste",0)</f>
        <v>0</v>
      </c>
      <c r="B64" s="284">
        <f t="shared" si="6"/>
        <v>0</v>
      </c>
      <c r="C64" s="62">
        <f>AB!C168</f>
        <v>0</v>
      </c>
      <c r="D64" s="62">
        <f>AB!D168</f>
        <v>0</v>
      </c>
      <c r="E64" s="62">
        <f>AB!E168</f>
        <v>0</v>
      </c>
      <c r="F64" s="62">
        <f>AB!F168</f>
        <v>0</v>
      </c>
      <c r="G64" s="62">
        <f>AB!G168</f>
        <v>0</v>
      </c>
      <c r="H64" s="62">
        <f>AB!H168</f>
        <v>0</v>
      </c>
      <c r="I64" s="110">
        <f>AB!I168</f>
        <v>0</v>
      </c>
    </row>
    <row r="65" spans="1:13">
      <c r="A65" s="408">
        <f>IF(B65&gt;0,"Elterngeld",0)</f>
        <v>0</v>
      </c>
      <c r="B65" s="284">
        <f t="shared" si="6"/>
        <v>0</v>
      </c>
      <c r="C65" s="62">
        <f>AB!C172</f>
        <v>0</v>
      </c>
      <c r="D65" s="62">
        <f>AB!D172</f>
        <v>0</v>
      </c>
      <c r="E65" s="62"/>
      <c r="F65" s="62"/>
      <c r="G65" s="62"/>
      <c r="H65" s="62"/>
      <c r="I65" s="110"/>
    </row>
    <row r="66" spans="1:13">
      <c r="A66" s="408">
        <f>IF(B66&gt;0,AB!A178,0)</f>
        <v>0</v>
      </c>
      <c r="B66" s="284">
        <f t="shared" si="6"/>
        <v>0</v>
      </c>
      <c r="C66" s="62">
        <f>AB!C178</f>
        <v>0</v>
      </c>
      <c r="D66" s="62">
        <f>AB!D178</f>
        <v>0</v>
      </c>
      <c r="E66" s="62">
        <f>AB!E178</f>
        <v>0</v>
      </c>
      <c r="F66" s="62">
        <f>AB!F178</f>
        <v>0</v>
      </c>
      <c r="G66" s="62"/>
      <c r="H66" s="62"/>
      <c r="I66" s="110"/>
    </row>
    <row r="67" spans="1:13">
      <c r="A67" s="408">
        <f>IF(B67&gt;0,"Kindergeld",0)</f>
        <v>0</v>
      </c>
      <c r="B67" s="284">
        <f t="shared" si="6"/>
        <v>0</v>
      </c>
      <c r="C67" s="62">
        <f>AB!C190</f>
        <v>0</v>
      </c>
      <c r="D67" s="62">
        <f>AB!D190</f>
        <v>0</v>
      </c>
      <c r="E67" s="62">
        <f>AB!E190</f>
        <v>0</v>
      </c>
      <c r="F67" s="62">
        <f>AB!F190</f>
        <v>0</v>
      </c>
      <c r="G67" s="62">
        <f>AB!G190</f>
        <v>0</v>
      </c>
      <c r="H67" s="62">
        <f>AB!H190</f>
        <v>0</v>
      </c>
      <c r="I67" s="110">
        <f>AB!I190</f>
        <v>0</v>
      </c>
    </row>
    <row r="68" spans="1:13">
      <c r="A68" s="408">
        <f>IF(B68&gt;0,"Unterhalt/Unterhaltsvorschuss",0)</f>
        <v>0</v>
      </c>
      <c r="B68" s="284">
        <f t="shared" si="6"/>
        <v>0</v>
      </c>
      <c r="C68" s="62">
        <f>AB!C193</f>
        <v>0</v>
      </c>
      <c r="D68" s="62">
        <f>AB!D193</f>
        <v>0</v>
      </c>
      <c r="E68" s="62">
        <f>AB!E193</f>
        <v>0</v>
      </c>
      <c r="F68" s="62">
        <f>AB!F193</f>
        <v>0</v>
      </c>
      <c r="G68" s="62">
        <f>AB!G193</f>
        <v>0</v>
      </c>
      <c r="H68" s="62">
        <f>AB!H193</f>
        <v>0</v>
      </c>
      <c r="I68" s="110">
        <f>AB!I193</f>
        <v>0</v>
      </c>
    </row>
    <row r="69" spans="1:13">
      <c r="A69" s="408">
        <f>IF(B69&gt;0,AB!A194,0)</f>
        <v>0</v>
      </c>
      <c r="B69" s="284">
        <f t="shared" si="6"/>
        <v>0</v>
      </c>
      <c r="C69" s="62">
        <f>AB!C194</f>
        <v>0</v>
      </c>
      <c r="D69" s="62">
        <f>AB!D194</f>
        <v>0</v>
      </c>
      <c r="E69" s="62">
        <f>AB!E194</f>
        <v>0</v>
      </c>
      <c r="F69" s="62">
        <f>AB!F194</f>
        <v>0</v>
      </c>
      <c r="G69" s="62">
        <f>AB!G194</f>
        <v>0</v>
      </c>
      <c r="H69" s="62">
        <f>AB!H194</f>
        <v>0</v>
      </c>
      <c r="I69" s="110">
        <f>AB!I194</f>
        <v>0</v>
      </c>
    </row>
    <row r="70" spans="1:13">
      <c r="A70" s="408">
        <f>IF(B70&gt;0,"Altersrente",0)</f>
        <v>0</v>
      </c>
      <c r="B70" s="284">
        <f t="shared" si="6"/>
        <v>0</v>
      </c>
      <c r="C70" s="62">
        <f>AB!C195</f>
        <v>0</v>
      </c>
      <c r="D70" s="62">
        <f>AB!D195</f>
        <v>0</v>
      </c>
      <c r="E70" s="62">
        <f>AB!E195</f>
        <v>0</v>
      </c>
      <c r="F70" s="62">
        <f>AB!F195</f>
        <v>0</v>
      </c>
      <c r="G70" s="62">
        <f>AB!G195</f>
        <v>0</v>
      </c>
      <c r="H70" s="62">
        <f>AB!H195</f>
        <v>0</v>
      </c>
      <c r="I70" s="110">
        <f>AB!I195</f>
        <v>0</v>
      </c>
    </row>
    <row r="71" spans="1:13">
      <c r="A71" s="408">
        <f>IF(B71&gt;0,AB!A196,0)</f>
        <v>0</v>
      </c>
      <c r="B71" s="284">
        <f t="shared" si="6"/>
        <v>0</v>
      </c>
      <c r="C71" s="62">
        <f>AB!C196</f>
        <v>0</v>
      </c>
      <c r="D71" s="62">
        <f>AB!D196</f>
        <v>0</v>
      </c>
      <c r="E71" s="62">
        <f>AB!E196</f>
        <v>0</v>
      </c>
      <c r="F71" s="62">
        <f>AB!F196</f>
        <v>0</v>
      </c>
      <c r="G71" s="62">
        <f>AB!G196</f>
        <v>0</v>
      </c>
      <c r="H71" s="62">
        <f>AB!H196</f>
        <v>0</v>
      </c>
      <c r="I71" s="110">
        <f>AB!I196</f>
        <v>0</v>
      </c>
    </row>
    <row r="72" spans="1:13" hidden="1">
      <c r="A72" s="408" t="str">
        <f>einmaligesEK!A11</f>
        <v>Steuererstattung</v>
      </c>
      <c r="B72" s="62"/>
      <c r="C72" s="764">
        <f>einmaligesEK!C11</f>
        <v>0</v>
      </c>
      <c r="D72" s="764">
        <f>einmaligesEK!D11</f>
        <v>0</v>
      </c>
      <c r="E72" s="764">
        <f>einmaligesEK!E11</f>
        <v>0</v>
      </c>
      <c r="F72" s="764">
        <f>einmaligesEK!F11</f>
        <v>0</v>
      </c>
      <c r="G72" s="764">
        <f>einmaligesEK!G11</f>
        <v>0</v>
      </c>
      <c r="H72" s="764">
        <f>einmaligesEK!H11</f>
        <v>0</v>
      </c>
      <c r="I72" s="824">
        <f>einmaligesEK!I11</f>
        <v>0</v>
      </c>
      <c r="J72" s="212"/>
    </row>
    <row r="73" spans="1:13">
      <c r="A73" s="412">
        <f>IF(B73&gt;0,einmaligesEK!A11,0)</f>
        <v>0</v>
      </c>
      <c r="B73" s="284">
        <f t="shared" ref="B73" si="7">SUM(C73:I73)</f>
        <v>0</v>
      </c>
      <c r="C73" s="62">
        <f>IF(AND(C72&gt;0,B!$B$161&lt;=0),(C72-einmaligesEK!C12)/6,C72)</f>
        <v>0</v>
      </c>
      <c r="D73" s="62">
        <f>IF(AND(D72&gt;0,B!$B$161&lt;=0),(D72-einmaligesEK!D12)/6,D72)</f>
        <v>0</v>
      </c>
      <c r="E73" s="62">
        <f>IF(AND(E72&gt;0,B!$B$161&lt;=0),(E72-einmaligesEK!E12)/6,E72)</f>
        <v>0</v>
      </c>
      <c r="F73" s="62">
        <f>IF(AND(F72&gt;0,B!$B$161&lt;=0),(F72-einmaligesEK!F12)/6,F72)</f>
        <v>0</v>
      </c>
      <c r="G73" s="62">
        <f>IF(AND(G72&gt;0,B!$B$161&lt;=0),(G72-einmaligesEK!G12)/6,G72)</f>
        <v>0</v>
      </c>
      <c r="H73" s="62">
        <f>IF(AND(H72&gt;0,B!$B$161&lt;=0),(H72-einmaligesEK!H12)/6,H72)</f>
        <v>0</v>
      </c>
      <c r="I73" s="110">
        <f>IF(AND(I72&gt;0,B!$B$161&lt;=0),(I72-einmaligesEK!I12)/6,I72)</f>
        <v>0</v>
      </c>
      <c r="J73" s="212"/>
    </row>
    <row r="74" spans="1:13">
      <c r="A74" s="825">
        <f>IF(AND(B73&gt;0,M74&gt;0),"Hinweis zur Einmalzahlung",0)</f>
        <v>0</v>
      </c>
      <c r="B74" s="62"/>
      <c r="C74" s="862" t="str">
        <f>IF(C73&lt;C72,"auf 6 Monate","")</f>
        <v/>
      </c>
      <c r="D74" s="862" t="str">
        <f t="shared" ref="D74:I74" si="8">IF(D73&lt;D72,"auf 6 Monate","")</f>
        <v/>
      </c>
      <c r="E74" s="862" t="str">
        <f t="shared" si="8"/>
        <v/>
      </c>
      <c r="F74" s="862" t="str">
        <f t="shared" si="8"/>
        <v/>
      </c>
      <c r="G74" s="862" t="str">
        <f t="shared" si="8"/>
        <v/>
      </c>
      <c r="H74" s="862" t="str">
        <f t="shared" si="8"/>
        <v/>
      </c>
      <c r="I74" s="863" t="str">
        <f t="shared" si="8"/>
        <v/>
      </c>
      <c r="J74" s="212"/>
      <c r="M74" s="820">
        <f>COUNTIF(C74:I74,"auf 6 Monate")</f>
        <v>0</v>
      </c>
    </row>
    <row r="75" spans="1:13" ht="16.5" customHeight="1" thickBot="1">
      <c r="A75" s="767">
        <f>IF(B75&gt;0,AB!A197,0)</f>
        <v>0</v>
      </c>
      <c r="B75" s="471">
        <f t="shared" si="6"/>
        <v>0</v>
      </c>
      <c r="C75" s="438">
        <f>AB!C197</f>
        <v>0</v>
      </c>
      <c r="D75" s="438">
        <f>AB!D197</f>
        <v>0</v>
      </c>
      <c r="E75" s="438">
        <f>AB!E197</f>
        <v>0</v>
      </c>
      <c r="F75" s="438">
        <f>AB!F197</f>
        <v>0</v>
      </c>
      <c r="G75" s="438">
        <f>AB!G197</f>
        <v>0</v>
      </c>
      <c r="H75" s="438">
        <f>AB!H197</f>
        <v>0</v>
      </c>
      <c r="I75" s="768">
        <f>AB!I197</f>
        <v>0</v>
      </c>
    </row>
    <row r="76" spans="1:13" ht="18" hidden="1" thickTop="1" thickBot="1">
      <c r="A76" s="262"/>
      <c r="B76" s="132"/>
      <c r="C76" s="132">
        <f>C65+C66+C67+C68+C69+C70+C71+C73+C75</f>
        <v>0</v>
      </c>
      <c r="D76" s="132">
        <f t="shared" ref="D76:I76" si="9">D65+D66+D67+D68+D69+D70+D71+D73+D75</f>
        <v>0</v>
      </c>
      <c r="E76" s="132">
        <f t="shared" si="9"/>
        <v>0</v>
      </c>
      <c r="F76" s="132">
        <f t="shared" si="9"/>
        <v>0</v>
      </c>
      <c r="G76" s="132">
        <f t="shared" si="9"/>
        <v>0</v>
      </c>
      <c r="H76" s="132">
        <f t="shared" si="9"/>
        <v>0</v>
      </c>
      <c r="I76" s="133">
        <f t="shared" si="9"/>
        <v>0</v>
      </c>
    </row>
    <row r="77" spans="1:13" ht="18" thickTop="1" thickBot="1">
      <c r="A77" s="242" t="s">
        <v>26</v>
      </c>
      <c r="B77" s="289">
        <f t="shared" si="6"/>
        <v>0</v>
      </c>
      <c r="C77" s="290">
        <f>C55+C56+C59+C61+C62+C63+C64+C65+C66+C67+C68+C69+C70+C71+C73+C75</f>
        <v>0</v>
      </c>
      <c r="D77" s="290">
        <f t="shared" ref="D77:I77" si="10">D55+D56+D59+D61+D62+D63+D64+D65+D66+D67+D68+D69+D70+D71+D73+D75</f>
        <v>0</v>
      </c>
      <c r="E77" s="290">
        <f t="shared" si="10"/>
        <v>0</v>
      </c>
      <c r="F77" s="290">
        <f t="shared" si="10"/>
        <v>0</v>
      </c>
      <c r="G77" s="290">
        <f t="shared" si="10"/>
        <v>0</v>
      </c>
      <c r="H77" s="290">
        <f t="shared" si="10"/>
        <v>0</v>
      </c>
      <c r="I77" s="291">
        <f t="shared" si="10"/>
        <v>0</v>
      </c>
    </row>
    <row r="78" spans="1:13" ht="16.5" hidden="1" customHeight="1">
      <c r="A78" s="411"/>
      <c r="B78" s="62"/>
      <c r="C78" s="128">
        <f>IF(AND(AB!C160&gt;0,AB!C163=AB!C160),0,AB!C201)</f>
        <v>0</v>
      </c>
      <c r="D78" s="128">
        <f>IF(AND(AB!D160&gt;0,AB!D163=AB!D160),0,AB!D201)</f>
        <v>0</v>
      </c>
      <c r="E78" s="128">
        <f>IF(AND(AB!E160&gt;0,AB!E163=AB!E160),0,AB!E201)</f>
        <v>0</v>
      </c>
      <c r="F78" s="128">
        <f>IF(AND(AB!F160&gt;0,AB!F163=AB!F160),0,AB!F201)</f>
        <v>0</v>
      </c>
      <c r="G78" s="128">
        <f>IF(AND(AB!G160&gt;0,AB!G163=AB!G160),0,AB!G201)</f>
        <v>0</v>
      </c>
      <c r="H78" s="128">
        <f>IF(AND(AB!H160&gt;0,AB!H163=AB!H160),0,AB!H201)</f>
        <v>0</v>
      </c>
      <c r="I78" s="190">
        <f>IF(AND(AB!I160&gt;0,AB!I163=AB!I160),0,AB!I201)</f>
        <v>0</v>
      </c>
    </row>
    <row r="79" spans="1:13" ht="16.5" hidden="1" customHeight="1">
      <c r="A79" s="411"/>
      <c r="B79" s="62"/>
      <c r="C79" s="128">
        <f>IF(AND(AB!C212&gt;C131,C87&lt;0),C78+C87,C78)</f>
        <v>0</v>
      </c>
      <c r="D79" s="128">
        <f>IF(AND(AB!D212&gt;D131,D87&lt;0),D78+D87,D78)</f>
        <v>0</v>
      </c>
      <c r="E79" s="128">
        <f>IF(AND(AB!E212&gt;E131,E87&lt;0),E78+E87,E78)</f>
        <v>0</v>
      </c>
      <c r="F79" s="128">
        <f>IF(AND(AB!F212&gt;F131,F87&lt;0),F78+F87,F78)</f>
        <v>0</v>
      </c>
      <c r="G79" s="128">
        <f>IF(AND(AB!G212&gt;G131,G87&lt;0),G78+G87,G78)</f>
        <v>0</v>
      </c>
      <c r="H79" s="128">
        <f>IF(AND(AB!H212&gt;H131,H87&lt;0),H78+H87,H78)</f>
        <v>0</v>
      </c>
      <c r="I79" s="190">
        <f>IF(AND(AB!I212&gt;I131,I87&lt;0),I78+I87,I78)</f>
        <v>0</v>
      </c>
    </row>
    <row r="80" spans="1:13" ht="16.5" hidden="1" customHeight="1">
      <c r="A80" s="411"/>
      <c r="B80" s="62"/>
      <c r="C80" s="128">
        <f>IF(AND(C131&gt;0,AB!C212&lt;C131),0,C79)</f>
        <v>0</v>
      </c>
      <c r="D80" s="128">
        <f>IF(AND(D131&gt;0,AB!D212&lt;D131),0,D79)</f>
        <v>0</v>
      </c>
      <c r="E80" s="128">
        <f>IF(AND(E131&gt;0,AB!E212&lt;E131),0,E79)</f>
        <v>0</v>
      </c>
      <c r="F80" s="128">
        <f>IF(AND(F131&gt;0,AB!F212&lt;F131),0,F79)</f>
        <v>0</v>
      </c>
      <c r="G80" s="128">
        <f>IF(AND(G131&gt;0,AB!G212&lt;G131),0,G79)</f>
        <v>0</v>
      </c>
      <c r="H80" s="128">
        <f>IF(AND(H131&gt;0,AB!H212&lt;H131),0,H79)</f>
        <v>0</v>
      </c>
      <c r="I80" s="190">
        <f>IF(AND(I131&gt;0,AB!I212&lt;I131),0,I79)</f>
        <v>0</v>
      </c>
    </row>
    <row r="81" spans="1:11" ht="16.5" hidden="1" customHeight="1">
      <c r="A81" s="411"/>
      <c r="B81" s="62"/>
      <c r="C81" s="128">
        <f>IF(C131=0,AB!C201,0)</f>
        <v>0</v>
      </c>
      <c r="D81" s="128">
        <f>IF(D131=0,AB!D201,0)</f>
        <v>0</v>
      </c>
      <c r="E81" s="128">
        <f>IF(E131=0,AB!E201,0)</f>
        <v>0</v>
      </c>
      <c r="F81" s="128">
        <f>IF(F131=0,AB!F201,0)</f>
        <v>0</v>
      </c>
      <c r="G81" s="128">
        <f>IF(G131=0,AB!G201,0)</f>
        <v>0</v>
      </c>
      <c r="H81" s="128">
        <f>IF(H131=0,AB!H201,0)</f>
        <v>0</v>
      </c>
      <c r="I81" s="190">
        <f>IF(I131=0,AB!I201,0)</f>
        <v>0</v>
      </c>
    </row>
    <row r="82" spans="1:11" ht="16.5" hidden="1" customHeight="1">
      <c r="A82" s="411"/>
      <c r="B82" s="62"/>
      <c r="C82" s="128">
        <f>IF(C81=30,C81,C80)</f>
        <v>0</v>
      </c>
      <c r="D82" s="128">
        <f t="shared" ref="D82:I82" si="11">IF(D81=30,D81,D80)</f>
        <v>0</v>
      </c>
      <c r="E82" s="128">
        <f t="shared" si="11"/>
        <v>0</v>
      </c>
      <c r="F82" s="128">
        <f t="shared" si="11"/>
        <v>0</v>
      </c>
      <c r="G82" s="128">
        <f t="shared" si="11"/>
        <v>0</v>
      </c>
      <c r="H82" s="128">
        <f t="shared" si="11"/>
        <v>0</v>
      </c>
      <c r="I82" s="190">
        <f t="shared" si="11"/>
        <v>0</v>
      </c>
    </row>
    <row r="83" spans="1:11" hidden="1">
      <c r="A83" s="408"/>
      <c r="B83" s="62">
        <f>SUM(C83:I83)</f>
        <v>0</v>
      </c>
      <c r="C83" s="295">
        <f>IF(C77=0,0,IF(C82&lt;0,0,IF(AND(C134&gt;0,C54&lt;=400),0,IF(AND(C134&gt;0,AB!C141=0),0,IF(AND(C66&gt;0,C142=AB!C187,AB!C187&gt;0),0,C82)))))</f>
        <v>0</v>
      </c>
      <c r="D83" s="295">
        <f>IF(D77=0,0,IF(D82&lt;0,0,IF(AND(D134&gt;0,D54&lt;=400),0,IF(AND(D134&gt;0,AB!D141=0),0,IF(AND(D66&gt;0,D142=AB!D187,AB!D187&gt;0),0,D82)))))</f>
        <v>0</v>
      </c>
      <c r="E83" s="295">
        <f>IF(E77=0,0,IF(E82&lt;0,0,IF(AND(E134&gt;0,E54&lt;=400),0,IF(AND(E134&gt;0,AB!E141=0),0,IF(AND(E66&gt;0,E142=AB!E187,AB!E187&gt;0),0,E82)))))</f>
        <v>0</v>
      </c>
      <c r="F83" s="295">
        <f>IF(F77=0,0,IF(F82&lt;0,0,IF(AND(F134&gt;0,F54&lt;=400),0,IF(AND(F134&gt;0,AB!F141=0),0,IF(AND(F66&gt;0,F142=AB!F187,AB!F187&gt;0),0,F82)))))</f>
        <v>0</v>
      </c>
      <c r="G83" s="295">
        <f>IF(G77=0,0,IF(G82&lt;0,0,IF(AND(G134&gt;0,G54&lt;=400),0,IF(AND(G134&gt;0,AB!G141=0),0,IF(AND(G66&gt;0,G142=AB!G187,AB!G187&gt;0),0,G82)))))</f>
        <v>0</v>
      </c>
      <c r="H83" s="295">
        <f>IF(H77=0,0,IF(H82&lt;0,0,IF(AND(H134&gt;0,H54&lt;=400),0,IF(AND(H134&gt;0,AB!H141=0),0,IF(AND(H66&gt;0,H142=AB!H187,AB!H187&gt;0),0,H82)))))</f>
        <v>0</v>
      </c>
      <c r="I83" s="296">
        <f>IF(I77=0,0,IF(I82&lt;0,0,IF(AND(I134&gt;0,I54&lt;=400),0,IF(AND(I134&gt;0,AB!I141=0),0,IF(AND(I66&gt;0,I142=AB!I187,AB!I187&gt;0),0,I82)))))</f>
        <v>0</v>
      </c>
    </row>
    <row r="84" spans="1:11" hidden="1">
      <c r="A84" s="821"/>
      <c r="B84" s="298">
        <f t="shared" ref="B84:B85" si="12">SUM(C84:I84)</f>
        <v>0</v>
      </c>
      <c r="C84" s="822">
        <f>IF(AND(AB!C18&gt;17,C55=0,C59&gt;0,C60="auf 6 Monate",C61=0),30,C83)</f>
        <v>0</v>
      </c>
      <c r="D84" s="822">
        <f>IF(AND(AB!D18&gt;17,D55=0,D59&gt;0,D60="auf 6 Monate",D61=0),30,D83)</f>
        <v>0</v>
      </c>
      <c r="E84" s="822">
        <f>IF(AND(AB!E18&gt;17,E55=0,E59&gt;0,E60="auf 6 Monate",E61=0),30,E83)</f>
        <v>0</v>
      </c>
      <c r="F84" s="822">
        <f>IF(AND(AB!F18&gt;17,F55=0,F59&gt;0,F60="auf 6 Monate",F61=0),30,F83)</f>
        <v>0</v>
      </c>
      <c r="G84" s="822">
        <f>IF(AND(AB!G18&gt;17,G55=0,G59&gt;0,G60="auf 6 Monate",G61=0),30,G83)</f>
        <v>0</v>
      </c>
      <c r="H84" s="822">
        <f>IF(AND(AB!H18&gt;17,H55=0,H59&gt;0,H60="auf 6 Monate",H61=0),30,H83)</f>
        <v>0</v>
      </c>
      <c r="I84" s="822">
        <f>IF(AND(AB!I18&gt;17,I55=0,I59&gt;0,I60="auf 6 Monate",I61=0),30,I83)</f>
        <v>0</v>
      </c>
    </row>
    <row r="85" spans="1:11">
      <c r="A85" s="414">
        <f t="shared" ref="A85" si="13">IF(B85&gt;0,"./. Versicherungspauschale",0)</f>
        <v>0</v>
      </c>
      <c r="B85" s="292">
        <f t="shared" si="12"/>
        <v>0</v>
      </c>
      <c r="C85" s="715">
        <f>IF(AND(C54&gt;0,C54+C57&lt;400,C60="auf 6 Monate"),0,C84)</f>
        <v>0</v>
      </c>
      <c r="D85" s="715">
        <f t="shared" ref="D85:I85" si="14">IF(AND(D54&gt;0,D54+D57&lt;400,D60="auf 6 Monate"),0,D84)</f>
        <v>0</v>
      </c>
      <c r="E85" s="715">
        <f t="shared" si="14"/>
        <v>0</v>
      </c>
      <c r="F85" s="715">
        <f t="shared" si="14"/>
        <v>0</v>
      </c>
      <c r="G85" s="715">
        <f t="shared" si="14"/>
        <v>0</v>
      </c>
      <c r="H85" s="715">
        <f t="shared" si="14"/>
        <v>0</v>
      </c>
      <c r="I85" s="716">
        <f t="shared" si="14"/>
        <v>0</v>
      </c>
    </row>
    <row r="86" spans="1:11" hidden="1">
      <c r="A86" s="411"/>
      <c r="B86" s="62"/>
      <c r="C86" s="128">
        <f>IF(AND(AB!C160&gt;0,AB!C163=AB!C160),0,AB!C202-AB!C160)</f>
        <v>0</v>
      </c>
      <c r="D86" s="128">
        <f>IF(AND(AB!D160&gt;0,AB!D163=AB!D160),0,AB!D202-AB!D160)</f>
        <v>0</v>
      </c>
      <c r="E86" s="128">
        <f>IF(AND(AB!E160&gt;0,AB!E163=AB!E160),0,AB!E202-AB!E160)</f>
        <v>0</v>
      </c>
      <c r="F86" s="128">
        <f>IF(AND(AB!F160&gt;0,AB!F163=AB!F160),0,AB!F202-AB!F160)</f>
        <v>0</v>
      </c>
      <c r="G86" s="128">
        <f>IF(AND(AB!G160&gt;0,AB!G163=AB!G160),0,AB!G202-AB!G160)</f>
        <v>0</v>
      </c>
      <c r="H86" s="128">
        <f>IF(AND(AB!H160&gt;0,AB!H163=AB!H160),0,AB!H202-AB!H160)</f>
        <v>0</v>
      </c>
      <c r="I86" s="190">
        <f>IF(AND(AB!I160&gt;0,AB!I163=AB!I160),0,AB!I202-AB!I160)</f>
        <v>0</v>
      </c>
    </row>
    <row r="87" spans="1:11" hidden="1">
      <c r="A87" s="411"/>
      <c r="B87" s="62"/>
      <c r="C87" s="128">
        <f>IF(AND(C78&gt;0,C86&gt;AB!C202),AB!C202,C86)</f>
        <v>0</v>
      </c>
      <c r="D87" s="128">
        <f>IF(AND(D78&gt;0,D86&gt;AB!D202),AB!D202,D86)</f>
        <v>0</v>
      </c>
      <c r="E87" s="128">
        <f>IF(AND(E78&gt;0,E86&gt;AB!E202),AB!E202,E86)</f>
        <v>0</v>
      </c>
      <c r="F87" s="128">
        <f>IF(AND(F78&gt;0,F86&gt;AB!F202),AB!F202,F86)</f>
        <v>0</v>
      </c>
      <c r="G87" s="128">
        <f>IF(AND(G78&gt;0,G86&gt;AB!G202),AB!G202,G86)</f>
        <v>0</v>
      </c>
      <c r="H87" s="128">
        <f>IF(AND(H78&gt;0,H86&gt;AB!H202),AB!H202,H86)</f>
        <v>0</v>
      </c>
      <c r="I87" s="190">
        <f>IF(AND(I78&gt;0,I86&gt;AB!I202),AB!I202,I86)</f>
        <v>0</v>
      </c>
    </row>
    <row r="88" spans="1:11" hidden="1">
      <c r="A88" s="411"/>
      <c r="B88" s="62"/>
      <c r="C88" s="128">
        <f>IF(C131=0,AB!C202,0)</f>
        <v>0</v>
      </c>
      <c r="D88" s="128">
        <f>IF(D131=0,AB!D202,0)</f>
        <v>0</v>
      </c>
      <c r="E88" s="128">
        <f>IF(E131=0,AB!E202,0)</f>
        <v>0</v>
      </c>
      <c r="F88" s="128">
        <f>IF(F131=0,AB!F202,0)</f>
        <v>0</v>
      </c>
      <c r="G88" s="128">
        <f>IF(G131=0,AB!G202,0)</f>
        <v>0</v>
      </c>
      <c r="H88" s="128">
        <f>IF(H131=0,AB!H202,0)</f>
        <v>0</v>
      </c>
      <c r="I88" s="190">
        <f>IF(I131=0,AB!I202,0)</f>
        <v>0</v>
      </c>
    </row>
    <row r="89" spans="1:11" hidden="1">
      <c r="A89" s="411"/>
      <c r="B89" s="62"/>
      <c r="C89" s="128">
        <f>IF(C88=AB!C202,C88,C87)</f>
        <v>0</v>
      </c>
      <c r="D89" s="128">
        <f>IF(D88=AB!D202,D88,D87)</f>
        <v>0</v>
      </c>
      <c r="E89" s="128">
        <f>IF(E88=AB!E202,E88,E87)</f>
        <v>0</v>
      </c>
      <c r="F89" s="128">
        <f>IF(F88=AB!F202,F88,F87)</f>
        <v>0</v>
      </c>
      <c r="G89" s="128">
        <f>IF(G88=AB!G202,G88,G87)</f>
        <v>0</v>
      </c>
      <c r="H89" s="128">
        <f>IF(H88=AB!H202,H88,H87)</f>
        <v>0</v>
      </c>
      <c r="I89" s="190">
        <f>IF(I88=AB!I202,I88,I87)</f>
        <v>0</v>
      </c>
    </row>
    <row r="90" spans="1:11" hidden="1">
      <c r="A90" s="411"/>
      <c r="B90" s="62"/>
      <c r="C90" s="295">
        <f t="shared" ref="C90:I90" si="15">IF(OR(C89&lt;0,C77=0),0,C89)</f>
        <v>0</v>
      </c>
      <c r="D90" s="295">
        <f t="shared" si="15"/>
        <v>0</v>
      </c>
      <c r="E90" s="295">
        <f t="shared" si="15"/>
        <v>0</v>
      </c>
      <c r="F90" s="295">
        <f t="shared" si="15"/>
        <v>0</v>
      </c>
      <c r="G90" s="295">
        <f t="shared" si="15"/>
        <v>0</v>
      </c>
      <c r="H90" s="295">
        <f t="shared" si="15"/>
        <v>0</v>
      </c>
      <c r="I90" s="296">
        <f t="shared" si="15"/>
        <v>0</v>
      </c>
    </row>
    <row r="91" spans="1:11" hidden="1">
      <c r="A91" s="408"/>
      <c r="B91" s="62"/>
      <c r="C91" s="295">
        <f>IF(AND(C134&gt;0,C54&lt;=400),0,IF(AND(C134&gt;0,AB!C141=0),0,IF(AND(C142=AB!C187,C66&gt;0,AB!C187&gt;0),0,C90)))</f>
        <v>0</v>
      </c>
      <c r="D91" s="295">
        <f>IF(AND(D134&gt;0,D54&lt;=400),0,IF(AND(D134&gt;0,AB!D141=0),0,IF(AND(D142=AB!D187,D66&gt;0,AB!D187&gt;0),0,D90)))</f>
        <v>0</v>
      </c>
      <c r="E91" s="295">
        <f>IF(AND(E134&gt;0,E54&lt;=400),0,IF(AND(E134&gt;0,AB!E141=0),0,IF(AND(E142=AB!E187,E66&gt;0,AB!E187&gt;0),0,E90)))</f>
        <v>0</v>
      </c>
      <c r="F91" s="295">
        <f>IF(AND(F134&gt;0,F54&lt;=400),0,IF(AND(F134&gt;0,AB!F141=0),0,IF(AND(F142=AB!F187,F66&gt;0,AB!F187&gt;0),0,F90)))</f>
        <v>0</v>
      </c>
      <c r="G91" s="295">
        <f>IF(AND(G134&gt;0,G54&lt;=400),0,IF(AND(G134&gt;0,AB!G141=0),0,IF(AND(G142=AB!G187,G66&gt;0,AB!G187&gt;0),0,G90)))</f>
        <v>0</v>
      </c>
      <c r="H91" s="295">
        <f>IF(AND(H134&gt;0,H54&lt;=400),0,IF(AND(H134&gt;0,AB!H141=0),0,IF(AND(H142=AB!H187,H66&gt;0,AB!H187&gt;0),0,H90)))</f>
        <v>0</v>
      </c>
      <c r="I91" s="296">
        <f>IF(AND(I134&gt;0,I54&lt;=400),0,IF(AND(I134&gt;0,AB!I141=0),0,IF(AND(I142=AB!I187,I66&gt;0,AB!I187&gt;0),0,I90)))</f>
        <v>0</v>
      </c>
      <c r="K91" s="616"/>
    </row>
    <row r="92" spans="1:11" hidden="1">
      <c r="A92" s="408"/>
      <c r="B92" s="62"/>
      <c r="C92" s="62">
        <f>IF(AND(C55=0,C59&gt;0,C60="auf 6 Monate",C61=0),AB!C202,C91)</f>
        <v>0</v>
      </c>
      <c r="D92" s="62">
        <f>IF(AND(D55=0,D59&gt;0,D60="auf 6 Monate",D61=0),AB!D202,D91)</f>
        <v>0</v>
      </c>
      <c r="E92" s="62">
        <f>IF(AND(E55=0,E59&gt;0,E60="auf 6 Monate",E61=0),AB!E202,E91)</f>
        <v>0</v>
      </c>
      <c r="F92" s="62">
        <f>IF(AND(F55=0,F59&gt;0,F60="auf 6 Monate",F61=0),AB!F202,F91)</f>
        <v>0</v>
      </c>
      <c r="G92" s="62">
        <f>IF(AND(G55=0,G59&gt;0,G60="auf 6 Monate",G61=0),AB!G202,G91)</f>
        <v>0</v>
      </c>
      <c r="H92" s="62">
        <f>IF(AND(H55=0,H59&gt;0,H60="auf 6 Monate",H61=0),AB!H202,H91)</f>
        <v>0</v>
      </c>
      <c r="I92" s="110">
        <f>IF(AND(I55=0,I59&gt;0,I60="auf 6 Monate",I61=0),AB!I202,I91)</f>
        <v>0</v>
      </c>
      <c r="K92" s="616"/>
    </row>
    <row r="93" spans="1:11">
      <c r="A93" s="408">
        <f>IF(B93&gt;0,"./. Kfz-Haftpflichtversicherung",0)</f>
        <v>0</v>
      </c>
      <c r="B93" s="284">
        <f>SUM(C93:I93)</f>
        <v>0</v>
      </c>
      <c r="C93" s="469">
        <f>IF(C56=C77,0,IF(AND(C54&gt;0,C54+C57&lt;400,C60="auf 6 Monate"),0,C92))</f>
        <v>0</v>
      </c>
      <c r="D93" s="469">
        <f t="shared" ref="D93:I93" si="16">IF(D56=D77,0,IF(AND(D54&gt;0,D54+D57&lt;400,D60="auf 6 Monate"),0,D92))</f>
        <v>0</v>
      </c>
      <c r="E93" s="469">
        <f t="shared" si="16"/>
        <v>0</v>
      </c>
      <c r="F93" s="469">
        <f t="shared" si="16"/>
        <v>0</v>
      </c>
      <c r="G93" s="469">
        <f t="shared" si="16"/>
        <v>0</v>
      </c>
      <c r="H93" s="469">
        <f t="shared" si="16"/>
        <v>0</v>
      </c>
      <c r="I93" s="470">
        <f t="shared" si="16"/>
        <v>0</v>
      </c>
      <c r="K93" s="616"/>
    </row>
    <row r="94" spans="1:11" ht="18" hidden="1" customHeight="1">
      <c r="A94" s="411"/>
      <c r="B94" s="128"/>
      <c r="C94" s="128">
        <f>IF(AND(AB!C160&gt;0,AB!C163=AB!C160),0,AB!C203)</f>
        <v>0</v>
      </c>
      <c r="D94" s="128">
        <f>IF(AND(AB!D160&gt;0,AB!D163=AB!D160),0,AB!D203)</f>
        <v>0</v>
      </c>
      <c r="E94" s="128">
        <f>IF(AND(AB!E160&gt;0,AB!E163=AB!E160),0,AB!E203)</f>
        <v>0</v>
      </c>
      <c r="F94" s="128">
        <f>IF(AND(AB!F160&gt;0,AB!F163=AB!F160),0,AB!F203)</f>
        <v>0</v>
      </c>
      <c r="G94" s="128">
        <f>IF(AND(AB!G160&gt;0,AB!G163=AB!G160),0,AB!G203)</f>
        <v>0</v>
      </c>
      <c r="H94" s="128">
        <f>IF(AND(AB!H160&gt;0,AB!H163=AB!H160),0,AB!H203)</f>
        <v>0</v>
      </c>
      <c r="I94" s="190">
        <f>IF(AND(AB!I160&gt;0,AB!I163=AB!I160),0,AB!I203)</f>
        <v>0</v>
      </c>
      <c r="K94" s="616"/>
    </row>
    <row r="95" spans="1:11" ht="18" hidden="1" customHeight="1">
      <c r="A95" s="411"/>
      <c r="B95" s="128"/>
      <c r="C95" s="128">
        <f>IF(AND(AB!C212&gt;C131,C87&lt;&gt;AB!C202),C94,0)</f>
        <v>0</v>
      </c>
      <c r="D95" s="128">
        <f>IF(AND(AB!D212&gt;D131,D87&lt;&gt;AB!D202),D94,0)</f>
        <v>0</v>
      </c>
      <c r="E95" s="128">
        <f>IF(AND(AB!E212&gt;E131,E87&lt;&gt;AB!E202),E94,0)</f>
        <v>0</v>
      </c>
      <c r="F95" s="128">
        <f>IF(AND(AB!F212&gt;F131,F87&lt;&gt;AB!F202),F94,0)</f>
        <v>0</v>
      </c>
      <c r="G95" s="128">
        <f>IF(AND(AB!G212&gt;G131,G87&lt;&gt;AB!G202),G94,0)</f>
        <v>0</v>
      </c>
      <c r="H95" s="128">
        <f>IF(AND(AB!H212&gt;H131,H87&lt;&gt;AB!H202),H94,0)</f>
        <v>0</v>
      </c>
      <c r="I95" s="190">
        <f>IF(AND(AB!I212&gt;I131,I87&lt;&gt;AB!I202),I94,0)</f>
        <v>0</v>
      </c>
      <c r="K95" s="616"/>
    </row>
    <row r="96" spans="1:11" ht="18" hidden="1" customHeight="1">
      <c r="A96" s="411"/>
      <c r="B96" s="128"/>
      <c r="C96" s="128">
        <f>IF(C131=0,AB!C203,0)</f>
        <v>0</v>
      </c>
      <c r="D96" s="128">
        <f>IF(D131=0,AB!D203,0)</f>
        <v>0</v>
      </c>
      <c r="E96" s="128">
        <f>IF(E131=0,AB!E203,0)</f>
        <v>0</v>
      </c>
      <c r="F96" s="128">
        <f>IF(F131=0,AB!F203,0)</f>
        <v>0</v>
      </c>
      <c r="G96" s="128">
        <f>IF(G131=0,AB!G203,0)</f>
        <v>0</v>
      </c>
      <c r="H96" s="128">
        <f>IF(H131=0,AB!H203,0)</f>
        <v>0</v>
      </c>
      <c r="I96" s="190">
        <f>IF(I131=0,AB!I203,0)</f>
        <v>0</v>
      </c>
      <c r="K96" s="616"/>
    </row>
    <row r="97" spans="1:9" ht="18" hidden="1" customHeight="1">
      <c r="A97" s="411"/>
      <c r="B97" s="128"/>
      <c r="C97" s="128">
        <f>IF(C96=AB!C203,C96,C95)</f>
        <v>0</v>
      </c>
      <c r="D97" s="128">
        <f>IF(D96=AB!D203,D96,D95)</f>
        <v>0</v>
      </c>
      <c r="E97" s="128">
        <f>IF(E96=AB!E203,E96,E95)</f>
        <v>0</v>
      </c>
      <c r="F97" s="128">
        <f>IF(F96=AB!F203,F96,F95)</f>
        <v>0</v>
      </c>
      <c r="G97" s="128">
        <f>IF(G96=AB!G203,G96,G95)</f>
        <v>0</v>
      </c>
      <c r="H97" s="128">
        <f>IF(H96=AB!H203,H96,H95)</f>
        <v>0</v>
      </c>
      <c r="I97" s="190">
        <f>IF(I96=AB!I203,I96,I95)</f>
        <v>0</v>
      </c>
    </row>
    <row r="98" spans="1:9" ht="18" hidden="1" customHeight="1">
      <c r="A98" s="408"/>
      <c r="B98" s="128"/>
      <c r="C98" s="295">
        <f>IF(C77=0,0,IF(AND(C134&gt;0,C54&lt;=400),0,IF(AND(C134&gt;0,AB!C141=0),0,IF(AND(C142=AB!C187,C66&gt;0,AB!C187&gt;0),0,C97))))</f>
        <v>0</v>
      </c>
      <c r="D98" s="295">
        <f>IF(D77=0,0,IF(AND(D134&gt;0,D54&lt;=400),0,IF(AND(D134&gt;0,AB!D141=0),0,IF(AND(D142=AB!D187,D66&gt;0,AB!D187&gt;0),0,D97))))</f>
        <v>0</v>
      </c>
      <c r="E98" s="295">
        <f>IF(E77=0,0,IF(AND(E134&gt;0,E54&lt;=400),0,IF(AND(E134&gt;0,AB!E141=0),0,IF(AND(E142=AB!E187,E66&gt;0,AB!E187&gt;0),0,E97))))</f>
        <v>0</v>
      </c>
      <c r="F98" s="295">
        <f>IF(F77=0,0,IF(AND(F134&gt;0,F54&lt;=400),0,IF(AND(F134&gt;0,AB!F141=0),0,IF(AND(F142=AB!F187,F66&gt;0,AB!F187&gt;0),0,F97))))</f>
        <v>0</v>
      </c>
      <c r="G98" s="295">
        <f>IF(G77=0,0,IF(AND(G134&gt;0,G54&lt;=400),0,IF(AND(G134&gt;0,AB!G141=0),0,IF(AND(G142=AB!G187,G66&gt;0,AB!G187&gt;0),0,G97))))</f>
        <v>0</v>
      </c>
      <c r="H98" s="295">
        <f>IF(H77=0,0,IF(AND(H134&gt;0,H54&lt;=400),0,IF(AND(H134&gt;0,AB!H141=0),0,IF(AND(H142=AB!H187,H66&gt;0,AB!H187&gt;0),0,H97))))</f>
        <v>0</v>
      </c>
      <c r="I98" s="296">
        <f>IF(I77=0,0,IF(AND(I134&gt;0,I54&lt;=400),0,IF(AND(I134&gt;0,AB!I141=0),0,IF(AND(I142=AB!I187,I66&gt;0,AB!I187&gt;0),0,I97))))</f>
        <v>0</v>
      </c>
    </row>
    <row r="99" spans="1:9" ht="18" hidden="1" customHeight="1">
      <c r="A99" s="408"/>
      <c r="B99" s="128"/>
      <c r="C99" s="62">
        <f>IF(AND(C55=0,C59&gt;0,C60="auf 6 Monate",C61=0),AB!C203,C98)</f>
        <v>0</v>
      </c>
      <c r="D99" s="62">
        <f>IF(AND(D55=0,D59&gt;0,D60="auf 6 Monate",D61=0),AB!D203,D98)</f>
        <v>0</v>
      </c>
      <c r="E99" s="62">
        <f>IF(AND(E55=0,E59&gt;0,E60="auf 6 Monate",E61=0),AB!E203,E98)</f>
        <v>0</v>
      </c>
      <c r="F99" s="62">
        <f>IF(AND(F55=0,F59&gt;0,F60="auf 6 Monate",F61=0),AB!F203,F98)</f>
        <v>0</v>
      </c>
      <c r="G99" s="62">
        <f>IF(AND(G55=0,G59&gt;0,G60="auf 6 Monate",G61=0),AB!G203,G98)</f>
        <v>0</v>
      </c>
      <c r="H99" s="62">
        <f>IF(AND(H55=0,H59&gt;0,H60="auf 6 Monate",H61=0),AB!H203,H98)</f>
        <v>0</v>
      </c>
      <c r="I99" s="110">
        <f>IF(AND(I55=0,I59&gt;0,I60="auf 6 Monate",I61=0),AB!I203,I98)</f>
        <v>0</v>
      </c>
    </row>
    <row r="100" spans="1:9" ht="18" customHeight="1">
      <c r="A100" s="408">
        <f>IF(B100&gt;0,"./. Beiträge für Krankheit/Alter/ZVK",0)</f>
        <v>0</v>
      </c>
      <c r="B100" s="297">
        <f>SUM(C100:I100)</f>
        <v>0</v>
      </c>
      <c r="C100" s="469">
        <f>IF(C56=C77,0,IF(AND(C54&gt;0,C54+C57&lt;400,C60="auf 6 Monate"),0,C99))</f>
        <v>0</v>
      </c>
      <c r="D100" s="469">
        <f t="shared" ref="D100:I100" si="17">IF(D56=D77,0,IF(AND(D54&gt;0,D54+D57&lt;400,D60="auf 6 Monate"),0,D99))</f>
        <v>0</v>
      </c>
      <c r="E100" s="469">
        <f t="shared" si="17"/>
        <v>0</v>
      </c>
      <c r="F100" s="469">
        <f t="shared" si="17"/>
        <v>0</v>
      </c>
      <c r="G100" s="469">
        <f t="shared" si="17"/>
        <v>0</v>
      </c>
      <c r="H100" s="469">
        <f t="shared" si="17"/>
        <v>0</v>
      </c>
      <c r="I100" s="470">
        <f t="shared" si="17"/>
        <v>0</v>
      </c>
    </row>
    <row r="101" spans="1:9" ht="16.5" hidden="1" customHeight="1">
      <c r="A101" s="411"/>
      <c r="B101" s="128"/>
      <c r="C101" s="128">
        <f>IF(AND(AB!C160&gt;0,AB!C163=AB!C160),0,AB!C210)</f>
        <v>0</v>
      </c>
      <c r="D101" s="128">
        <f>IF(AND(AB!D160&gt;0,AB!D163=AB!D160),0,AB!D210)</f>
        <v>0</v>
      </c>
      <c r="E101" s="128">
        <f>IF(AND(AB!E160&gt;0,AB!E163=AB!E160),0,AB!E210)</f>
        <v>0</v>
      </c>
      <c r="F101" s="128">
        <f>IF(AND(AB!F160&gt;0,AB!F163=AB!F160),0,AB!F210)</f>
        <v>0</v>
      </c>
      <c r="G101" s="128">
        <f>IF(AND(AB!G160&gt;0,AB!G163=AB!G160),0,AB!G210)</f>
        <v>0</v>
      </c>
      <c r="H101" s="128">
        <f>IF(AND(AB!H160&gt;0,AB!H163=AB!H160),0,AB!H210)</f>
        <v>0</v>
      </c>
      <c r="I101" s="190">
        <f>IF(AND(AB!I160&gt;0,AB!I163=AB!I160),0,AB!I210)</f>
        <v>0</v>
      </c>
    </row>
    <row r="102" spans="1:9" ht="16.5" hidden="1" customHeight="1">
      <c r="A102" s="411"/>
      <c r="B102" s="128"/>
      <c r="C102" s="128">
        <f>IF(AND(AB!C212&gt;C131,C87&lt;&gt;AB!C202),C101,0)</f>
        <v>0</v>
      </c>
      <c r="D102" s="128">
        <f>IF(AND(AB!D212&gt;D131,D87&lt;&gt;AB!D202),D101,0)</f>
        <v>0</v>
      </c>
      <c r="E102" s="128">
        <f>IF(AND(AB!E212&gt;E131,E87&lt;&gt;AB!E202),E101,0)</f>
        <v>0</v>
      </c>
      <c r="F102" s="128">
        <f>IF(AND(AB!F212&gt;F131,F87&lt;&gt;AB!F202),F101,0)</f>
        <v>0</v>
      </c>
      <c r="G102" s="128">
        <f>IF(AND(AB!G212&gt;G131,G87&lt;&gt;AB!G202),G101,0)</f>
        <v>0</v>
      </c>
      <c r="H102" s="128">
        <f>IF(AND(AB!H212&gt;H131,H87&lt;&gt;AB!H202),H101,0)</f>
        <v>0</v>
      </c>
      <c r="I102" s="190">
        <f>IF(AND(AB!I212&gt;I131,I87&lt;&gt;AB!I202),I101,0)</f>
        <v>0</v>
      </c>
    </row>
    <row r="103" spans="1:9" ht="16.5" hidden="1" customHeight="1">
      <c r="A103" s="411"/>
      <c r="B103" s="128"/>
      <c r="C103" s="128">
        <f>IF(C131=0,AB!C210,0)</f>
        <v>0</v>
      </c>
      <c r="D103" s="128">
        <f>IF(D131=0,AB!D210,0)</f>
        <v>0</v>
      </c>
      <c r="E103" s="128">
        <f>IF(E131=0,AB!E210,0)</f>
        <v>0</v>
      </c>
      <c r="F103" s="128">
        <f>IF(F131=0,AB!F210,0)</f>
        <v>0</v>
      </c>
      <c r="G103" s="128">
        <f>IF(G131=0,AB!G210,0)</f>
        <v>0</v>
      </c>
      <c r="H103" s="128">
        <f>IF(H131=0,AB!H210,0)</f>
        <v>0</v>
      </c>
      <c r="I103" s="190">
        <f>IF(I131=0,AB!I210,0)</f>
        <v>0</v>
      </c>
    </row>
    <row r="104" spans="1:9" ht="16.5" hidden="1" customHeight="1">
      <c r="A104" s="411"/>
      <c r="B104" s="128"/>
      <c r="C104" s="128">
        <f>IF(C103=AB!C210,C103,C102)</f>
        <v>0</v>
      </c>
      <c r="D104" s="128">
        <f>IF(D103=AB!D210,D103,D102)</f>
        <v>0</v>
      </c>
      <c r="E104" s="128">
        <f>IF(E103=AB!E210,E103,E102)</f>
        <v>0</v>
      </c>
      <c r="F104" s="128">
        <f>IF(F103=AB!F210,F103,F102)</f>
        <v>0</v>
      </c>
      <c r="G104" s="128">
        <f>IF(G103=AB!G210,G103,G102)</f>
        <v>0</v>
      </c>
      <c r="H104" s="128">
        <f>IF(H103=AB!H210,H103,H102)</f>
        <v>0</v>
      </c>
      <c r="I104" s="190">
        <f>IF(I103=AB!I210,I103,I102)</f>
        <v>0</v>
      </c>
    </row>
    <row r="105" spans="1:9" hidden="1">
      <c r="A105" s="408"/>
      <c r="B105" s="128"/>
      <c r="C105" s="295">
        <f>IF(C77=0,0,IF(AND(C134&gt;0,C54&lt;=400),0,IF(AND(C134&gt;0,AB!C141=0),0,IF(AND(C142=AB!C187,C66&gt;0,AB!C187&gt;0),0,C104))))</f>
        <v>0</v>
      </c>
      <c r="D105" s="295">
        <f>IF(D77=0,0,IF(AND(D134&gt;0,D54&lt;=400),0,IF(AND(D134&gt;0,AB!D141=0),0,IF(AND(D142=AB!D187,D66&gt;0,AB!D187&gt;0),0,D104))))</f>
        <v>0</v>
      </c>
      <c r="E105" s="295">
        <f>IF(E77=0,0,IF(AND(E134&gt;0,E54&lt;=400),0,IF(AND(E134&gt;0,AB!E141=0),0,IF(AND(E142=AB!E187,E66&gt;0,AB!E187&gt;0),0,E104))))</f>
        <v>0</v>
      </c>
      <c r="F105" s="295">
        <f>IF(F77=0,0,IF(AND(F134&gt;0,F54&lt;=400),0,IF(AND(F134&gt;0,AB!F141=0),0,IF(AND(F142=AB!F187,F66&gt;0,AB!F187&gt;0),0,F104))))</f>
        <v>0</v>
      </c>
      <c r="G105" s="295">
        <f>IF(G77=0,0,IF(AND(G134&gt;0,G54&lt;=400),0,IF(AND(G134&gt;0,AB!G141=0),0,IF(AND(G142=AB!G187,G66&gt;0,AB!G187&gt;0),0,G104))))</f>
        <v>0</v>
      </c>
      <c r="H105" s="295">
        <f>IF(H77=0,0,IF(AND(H134&gt;0,H54&lt;=400),0,IF(AND(H134&gt;0,AB!H141=0),0,IF(AND(H142=AB!H187,H66&gt;0,AB!H187&gt;0),0,H104))))</f>
        <v>0</v>
      </c>
      <c r="I105" s="296">
        <f>IF(I77=0,0,IF(AND(I134&gt;0,I54&lt;=400),0,IF(AND(I134&gt;0,AB!I141=0),0,IF(AND(I142=AB!I187,I66&gt;0,AB!I187&gt;0),0,I104))))</f>
        <v>0</v>
      </c>
    </row>
    <row r="106" spans="1:9" hidden="1">
      <c r="A106" s="408"/>
      <c r="B106" s="128"/>
      <c r="C106" s="62">
        <f>IF(AND(C55=0,C59&gt;0,C60="auf 6 Monate",C61=0),AB!C210,C105)</f>
        <v>0</v>
      </c>
      <c r="D106" s="62">
        <f>IF(AND(D55=0,D59&gt;0,D60="auf 6 Monate",D61=0),AB!D210,D105)</f>
        <v>0</v>
      </c>
      <c r="E106" s="62">
        <f>IF(AND(E55=0,E59&gt;0,E60="auf 6 Monate",E61=0),AB!E210,E105)</f>
        <v>0</v>
      </c>
      <c r="F106" s="62">
        <f>IF(AND(F55=0,F59&gt;0,F60="auf 6 Monate",F61=0),AB!F210,F105)</f>
        <v>0</v>
      </c>
      <c r="G106" s="62">
        <f>IF(AND(G55=0,G59&gt;0,G60="auf 6 Monate",G61=0),AB!G210,G105)</f>
        <v>0</v>
      </c>
      <c r="H106" s="62">
        <f>IF(AND(H55=0,H59&gt;0,H60="auf 6 Monate",H61=0),AB!H210,H105)</f>
        <v>0</v>
      </c>
      <c r="I106" s="110">
        <f>IF(AND(I55=0,I59&gt;0,I60="auf 6 Monate",I61=0),AB!I210,I105)</f>
        <v>0</v>
      </c>
    </row>
    <row r="107" spans="1:9">
      <c r="A107" s="408">
        <f>IF(B107&gt;0,"./. Beiträge Riester-Rente",0)</f>
        <v>0</v>
      </c>
      <c r="B107" s="297">
        <f>SUM(C107:I107)</f>
        <v>0</v>
      </c>
      <c r="C107" s="469">
        <f>IF(C56=C77,0,IF(AND(C54&gt;0,C54+C57&lt;400,C60="auf 6 Monate"),0,C106))</f>
        <v>0</v>
      </c>
      <c r="D107" s="469">
        <f t="shared" ref="D107:I107" si="18">IF(D56=D77,0,IF(AND(D54&gt;0,D54+D57&lt;400,D60="auf 6 Monate"),0,D106))</f>
        <v>0</v>
      </c>
      <c r="E107" s="469">
        <f t="shared" si="18"/>
        <v>0</v>
      </c>
      <c r="F107" s="469">
        <f t="shared" si="18"/>
        <v>0</v>
      </c>
      <c r="G107" s="469">
        <f t="shared" si="18"/>
        <v>0</v>
      </c>
      <c r="H107" s="469">
        <f t="shared" si="18"/>
        <v>0</v>
      </c>
      <c r="I107" s="470">
        <f t="shared" si="18"/>
        <v>0</v>
      </c>
    </row>
    <row r="108" spans="1:9" hidden="1">
      <c r="A108" s="408"/>
      <c r="B108" s="128"/>
      <c r="C108" s="128">
        <f>IF(AND(AB!C160&gt;0,AB!C163=AB!C160),0,AB!C127)</f>
        <v>0</v>
      </c>
      <c r="D108" s="128">
        <f>IF(AND(AB!D160&gt;0,AB!D163=AB!D160),0,AB!D127)</f>
        <v>0</v>
      </c>
      <c r="E108" s="128">
        <f>IF(AND(AB!E160&gt;0,AB!E163=AB!E160),0,AB!E127)</f>
        <v>0</v>
      </c>
      <c r="F108" s="128">
        <f>IF(AND(AB!F160&gt;0,AB!F163=AB!F160),0,AB!F127)</f>
        <v>0</v>
      </c>
      <c r="G108" s="128">
        <f>IF(AND(AB!G160&gt;0,AB!G163=AB!G160),0,AB!G127)</f>
        <v>0</v>
      </c>
      <c r="H108" s="128">
        <f>IF(AND(AB!H160&gt;0,AB!H163=AB!H160),0,AB!H127)</f>
        <v>0</v>
      </c>
      <c r="I108" s="190">
        <f>IF(AND(AB!I160&gt;0,AB!I163=AB!I160),0,AB!I127)</f>
        <v>0</v>
      </c>
    </row>
    <row r="109" spans="1:9" hidden="1">
      <c r="A109" s="613"/>
      <c r="B109" s="128"/>
      <c r="C109" s="128">
        <f>IF(AND(AB!C212&gt;C131,C87&lt;&gt;AB!C127),C108,0)</f>
        <v>0</v>
      </c>
      <c r="D109" s="128">
        <f>IF(AND(AB!D212&gt;D131,D87&lt;&gt;AB!D127),D108,0)</f>
        <v>0</v>
      </c>
      <c r="E109" s="128">
        <f>IF(AND(AB!E212&gt;E131,E87&lt;&gt;AB!E127),E108,0)</f>
        <v>0</v>
      </c>
      <c r="F109" s="128">
        <f>IF(AND(AB!F212&gt;F131,F87&lt;&gt;AB!F127),F108,0)</f>
        <v>0</v>
      </c>
      <c r="G109" s="128">
        <f>IF(AND(AB!G212&gt;G131,G87&lt;&gt;AB!G127),G108,0)</f>
        <v>0</v>
      </c>
      <c r="H109" s="128">
        <f>IF(AND(AB!H212&gt;H131,H87&lt;&gt;AB!H127),H108,0)</f>
        <v>0</v>
      </c>
      <c r="I109" s="190">
        <f>IF(AND(AB!I212&gt;I131,I87&lt;&gt;AB!I127),I108,0)</f>
        <v>0</v>
      </c>
    </row>
    <row r="110" spans="1:9" hidden="1">
      <c r="A110" s="408"/>
      <c r="B110" s="128"/>
      <c r="C110" s="128">
        <f>IF(C131=0,AB!C127,0)</f>
        <v>0</v>
      </c>
      <c r="D110" s="128">
        <f>IF(D131=0,AB!D127,0)</f>
        <v>0</v>
      </c>
      <c r="E110" s="128">
        <f>IF(E131=0,AB!E127,0)</f>
        <v>0</v>
      </c>
      <c r="F110" s="128">
        <f>IF(F131=0,AB!F127,0)</f>
        <v>0</v>
      </c>
      <c r="G110" s="128">
        <f>IF(G131=0,AB!G127,0)</f>
        <v>0</v>
      </c>
      <c r="H110" s="128">
        <f>IF(H131=0,AB!H127,0)</f>
        <v>0</v>
      </c>
      <c r="I110" s="190">
        <f>IF(I131=0,AB!I127,0)</f>
        <v>0</v>
      </c>
    </row>
    <row r="111" spans="1:9" hidden="1">
      <c r="A111" s="408"/>
      <c r="B111" s="128"/>
      <c r="C111" s="128">
        <f>IF(C110=AB!C127,C110,C109)</f>
        <v>0</v>
      </c>
      <c r="D111" s="128">
        <f>IF(D110=AB!D127,D110,D109)</f>
        <v>0</v>
      </c>
      <c r="E111" s="128">
        <f>IF(E110=AB!E127,E110,E109)</f>
        <v>0</v>
      </c>
      <c r="F111" s="128">
        <f>IF(F110=AB!F127,F110,F109)</f>
        <v>0</v>
      </c>
      <c r="G111" s="128">
        <f>IF(G110=AB!G127,G110,G109)</f>
        <v>0</v>
      </c>
      <c r="H111" s="128">
        <f>IF(H110=AB!H127,H110,H109)</f>
        <v>0</v>
      </c>
      <c r="I111" s="190">
        <f>IF(I110=AB!I127,I110,I109)</f>
        <v>0</v>
      </c>
    </row>
    <row r="112" spans="1:9" hidden="1">
      <c r="A112" s="613"/>
      <c r="B112" s="128"/>
      <c r="C112" s="128">
        <f>IF(AB!C140=0,0,C111)</f>
        <v>0</v>
      </c>
      <c r="D112" s="128">
        <f>IF(AB!D140=0,0,D111)</f>
        <v>0</v>
      </c>
      <c r="E112" s="128">
        <f>IF(AB!E140=0,0,E111)</f>
        <v>0</v>
      </c>
      <c r="F112" s="128">
        <f>IF(AB!F140=0,0,F111)</f>
        <v>0</v>
      </c>
      <c r="G112" s="128">
        <f>IF(AB!G140=0,0,G111)</f>
        <v>0</v>
      </c>
      <c r="H112" s="128">
        <f>IF(AB!H140=0,0,H111)</f>
        <v>0</v>
      </c>
      <c r="I112" s="190">
        <f>IF(AB!I140=0,0,I111)</f>
        <v>0</v>
      </c>
    </row>
    <row r="113" spans="1:9" hidden="1">
      <c r="A113" s="408"/>
      <c r="B113" s="62"/>
      <c r="C113" s="295">
        <f t="shared" ref="C113:I113" si="19">IF(AND(C134&gt;0,C54&lt;=400),0,IF(C82&lt;0,C112+C82,IF(C77=0,0,C112)))</f>
        <v>0</v>
      </c>
      <c r="D113" s="295">
        <f t="shared" si="19"/>
        <v>0</v>
      </c>
      <c r="E113" s="295">
        <f t="shared" si="19"/>
        <v>0</v>
      </c>
      <c r="F113" s="295">
        <f t="shared" si="19"/>
        <v>0</v>
      </c>
      <c r="G113" s="295">
        <f t="shared" si="19"/>
        <v>0</v>
      </c>
      <c r="H113" s="295">
        <f t="shared" si="19"/>
        <v>0</v>
      </c>
      <c r="I113" s="296">
        <f t="shared" si="19"/>
        <v>0</v>
      </c>
    </row>
    <row r="114" spans="1:9">
      <c r="A114" s="408">
        <f>IF(B114&gt;0,"./. Fahrtkosten",0)</f>
        <v>0</v>
      </c>
      <c r="B114" s="284">
        <f>SUM(C114:I114)</f>
        <v>0</v>
      </c>
      <c r="C114" s="469">
        <f>IF(AND(C54+C57&lt;400,C60="auf 6 Monate"),0,C113)</f>
        <v>0</v>
      </c>
      <c r="D114" s="469">
        <f t="shared" ref="D114:I114" si="20">IF(AND(D54+D57&lt;400,D60="auf 6 Monate"),0,D113)</f>
        <v>0</v>
      </c>
      <c r="E114" s="469">
        <f t="shared" si="20"/>
        <v>0</v>
      </c>
      <c r="F114" s="469">
        <f t="shared" si="20"/>
        <v>0</v>
      </c>
      <c r="G114" s="469">
        <f t="shared" si="20"/>
        <v>0</v>
      </c>
      <c r="H114" s="469">
        <f t="shared" si="20"/>
        <v>0</v>
      </c>
      <c r="I114" s="470">
        <f t="shared" si="20"/>
        <v>0</v>
      </c>
    </row>
    <row r="115" spans="1:9" hidden="1">
      <c r="A115" s="408"/>
      <c r="B115" s="62"/>
      <c r="C115" s="128">
        <f>IF(AND(AB!C160&gt;0,AB!C163=AB!C160),0,AB!C124)</f>
        <v>0</v>
      </c>
      <c r="D115" s="128">
        <f>IF(AND(AB!D160&gt;0,AB!D163=AB!D160),0,AB!D124)</f>
        <v>0</v>
      </c>
      <c r="E115" s="128">
        <f>IF(AND(AB!E160&gt;0,AB!E163=AB!E160),0,AB!E124)</f>
        <v>0</v>
      </c>
      <c r="F115" s="128">
        <f>IF(AND(AB!F160&gt;0,AB!F163=AB!F160),0,AB!F124)</f>
        <v>0</v>
      </c>
      <c r="G115" s="128">
        <f>IF(AND(AB!G160&gt;0,AB!G163=AB!G160),0,AB!G124)</f>
        <v>0</v>
      </c>
      <c r="H115" s="128">
        <f>IF(AND(AB!H160&gt;0,AB!H163=AB!H160),0,AB!H124)</f>
        <v>0</v>
      </c>
      <c r="I115" s="190">
        <f>IF(AND(AB!I160&gt;0,AB!I163=AB!I160),0,AB!I124)</f>
        <v>0</v>
      </c>
    </row>
    <row r="116" spans="1:9" hidden="1">
      <c r="A116" s="613"/>
      <c r="B116" s="62"/>
      <c r="C116" s="128">
        <f>IF(AND(AB!C212&gt;C131,C87&lt;&gt;AB!C124),C115,0)</f>
        <v>0</v>
      </c>
      <c r="D116" s="128">
        <f>IF(AND(AB!D212&gt;D131,D87&lt;&gt;AB!D124),D115,0)</f>
        <v>0</v>
      </c>
      <c r="E116" s="128">
        <f>IF(AND(AB!E212&gt;E131,E87&lt;&gt;AB!E124),E115,0)</f>
        <v>0</v>
      </c>
      <c r="F116" s="128">
        <f>IF(AND(AB!F212&gt;F131,F87&lt;&gt;AB!F124),F115,0)</f>
        <v>0</v>
      </c>
      <c r="G116" s="128">
        <f>IF(AND(AB!G212&gt;G131,G87&lt;&gt;AB!G124),G115,0)</f>
        <v>0</v>
      </c>
      <c r="H116" s="128">
        <f>IF(AND(AB!H212&gt;H131,H87&lt;&gt;AB!H124),H115,0)</f>
        <v>0</v>
      </c>
      <c r="I116" s="190">
        <f>IF(AND(AB!I212&gt;I131,I87&lt;&gt;AB!I124),I115,0)</f>
        <v>0</v>
      </c>
    </row>
    <row r="117" spans="1:9" hidden="1">
      <c r="A117" s="408"/>
      <c r="B117" s="62"/>
      <c r="C117" s="128">
        <f>IF(C131=0,AB!C124,0)</f>
        <v>0</v>
      </c>
      <c r="D117" s="128">
        <f>IF(D131=0,AB!D124,0)</f>
        <v>0</v>
      </c>
      <c r="E117" s="128">
        <f>IF(E131=0,AB!E124,0)</f>
        <v>0</v>
      </c>
      <c r="F117" s="128">
        <f>IF(F131=0,AB!F124,0)</f>
        <v>0</v>
      </c>
      <c r="G117" s="128">
        <f>IF(G131=0,AB!G124,0)</f>
        <v>0</v>
      </c>
      <c r="H117" s="128">
        <f>IF(H131=0,AB!H124,0)</f>
        <v>0</v>
      </c>
      <c r="I117" s="190">
        <f>IF(I131=0,AB!I124,0)</f>
        <v>0</v>
      </c>
    </row>
    <row r="118" spans="1:9" hidden="1">
      <c r="A118" s="408"/>
      <c r="B118" s="62"/>
      <c r="C118" s="128">
        <f>IF(C117=AB!C124,C117,C115)</f>
        <v>0</v>
      </c>
      <c r="D118" s="128">
        <f>IF(D117=AB!D124,D117,D115)</f>
        <v>0</v>
      </c>
      <c r="E118" s="128">
        <f>IF(E117=AB!E124,E117,E115)</f>
        <v>0</v>
      </c>
      <c r="F118" s="128">
        <f>IF(F117=AB!F124,F117,F115)</f>
        <v>0</v>
      </c>
      <c r="G118" s="128">
        <f>IF(G117=AB!G124,G117,G115)</f>
        <v>0</v>
      </c>
      <c r="H118" s="128">
        <f>IF(H117=AB!H124,H117,H115)</f>
        <v>0</v>
      </c>
      <c r="I118" s="190">
        <f>IF(I117=AB!I124,I117,I115)</f>
        <v>0</v>
      </c>
    </row>
    <row r="119" spans="1:9" hidden="1">
      <c r="A119" s="613"/>
      <c r="B119" s="62"/>
      <c r="C119" s="128">
        <f>IF(AB!C140=0,0,C118)</f>
        <v>0</v>
      </c>
      <c r="D119" s="128">
        <f>IF(AB!D140=0,0,D118)</f>
        <v>0</v>
      </c>
      <c r="E119" s="128">
        <f>IF(AB!E140=0,0,E118)</f>
        <v>0</v>
      </c>
      <c r="F119" s="128">
        <f>IF(AB!F140=0,0,F118)</f>
        <v>0</v>
      </c>
      <c r="G119" s="128">
        <f>IF(AB!G140=0,0,G118)</f>
        <v>0</v>
      </c>
      <c r="H119" s="128">
        <f>IF(AB!H140=0,0,H118)</f>
        <v>0</v>
      </c>
      <c r="I119" s="190">
        <f>IF(AB!I140=0,0,I118)</f>
        <v>0</v>
      </c>
    </row>
    <row r="120" spans="1:9" hidden="1">
      <c r="A120" s="408"/>
      <c r="B120" s="62"/>
      <c r="C120" s="614">
        <f t="shared" ref="C120:I120" si="21">IF(AND(C134&gt;0,C54&lt;=400),0,IF(C77=0,0,C119))</f>
        <v>0</v>
      </c>
      <c r="D120" s="614">
        <f t="shared" si="21"/>
        <v>0</v>
      </c>
      <c r="E120" s="614">
        <f t="shared" si="21"/>
        <v>0</v>
      </c>
      <c r="F120" s="614">
        <f t="shared" si="21"/>
        <v>0</v>
      </c>
      <c r="G120" s="614">
        <f t="shared" si="21"/>
        <v>0</v>
      </c>
      <c r="H120" s="614">
        <f t="shared" si="21"/>
        <v>0</v>
      </c>
      <c r="I120" s="654">
        <f t="shared" si="21"/>
        <v>0</v>
      </c>
    </row>
    <row r="121" spans="1:9">
      <c r="A121" s="408">
        <f>IF(B121&gt;0,"./. Verpflegungsmehraufwand",0)</f>
        <v>0</v>
      </c>
      <c r="B121" s="284">
        <f>SUM(C121:I121)</f>
        <v>0</v>
      </c>
      <c r="C121" s="469">
        <f>IF(AND(C54+C57&lt;400,C60="auf 6 Monate"),0,C120)</f>
        <v>0</v>
      </c>
      <c r="D121" s="469">
        <f t="shared" ref="D121:I121" si="22">IF(AND(D54+D57&lt;400,D60="auf 6 Monate"),0,D120)</f>
        <v>0</v>
      </c>
      <c r="E121" s="469">
        <f t="shared" si="22"/>
        <v>0</v>
      </c>
      <c r="F121" s="469">
        <f t="shared" si="22"/>
        <v>0</v>
      </c>
      <c r="G121" s="469">
        <f t="shared" si="22"/>
        <v>0</v>
      </c>
      <c r="H121" s="469">
        <f t="shared" si="22"/>
        <v>0</v>
      </c>
      <c r="I121" s="470">
        <f t="shared" si="22"/>
        <v>0</v>
      </c>
    </row>
    <row r="122" spans="1:9" hidden="1">
      <c r="A122" s="408"/>
      <c r="B122" s="62"/>
      <c r="C122" s="128">
        <f>IF(AND(AB!C160&gt;0,AB!C163=AB!C160),0,AB!C148)</f>
        <v>0</v>
      </c>
      <c r="D122" s="128">
        <f>IF(AND(AB!D160&gt;0,AB!D163=AB!D160),0,AB!D148)</f>
        <v>0</v>
      </c>
      <c r="E122" s="128">
        <f>IF(AND(AB!E160&gt;0,AB!E163=AB!E160),0,AB!E148)</f>
        <v>0</v>
      </c>
      <c r="F122" s="128">
        <f>IF(AND(AB!F160&gt;0,AB!F163=AB!F160),0,AB!F148)</f>
        <v>0</v>
      </c>
      <c r="G122" s="128">
        <f>IF(AND(AB!G160&gt;0,AB!G163=AB!G160),0,AB!G148)</f>
        <v>0</v>
      </c>
      <c r="H122" s="128">
        <f>IF(AND(AB!H160&gt;0,AB!H163=AB!H160),0,AB!H148)</f>
        <v>0</v>
      </c>
      <c r="I122" s="190">
        <f>IF(AND(AB!I160&gt;0,AB!I163=AB!I160),0,AB!I148)</f>
        <v>0</v>
      </c>
    </row>
    <row r="123" spans="1:9" hidden="1">
      <c r="A123" s="408"/>
      <c r="B123" s="62"/>
      <c r="C123" s="128">
        <f>IF(C131=0,AB!C148,0)</f>
        <v>0</v>
      </c>
      <c r="D123" s="128">
        <f>IF(D131=0,AB!D148,0)</f>
        <v>0</v>
      </c>
      <c r="E123" s="128">
        <f>IF(E131=0,AB!E148,0)</f>
        <v>0</v>
      </c>
      <c r="F123" s="128">
        <f>IF(F131=0,AB!F148,0)</f>
        <v>0</v>
      </c>
      <c r="G123" s="128">
        <f>IF(G131=0,AB!G148,0)</f>
        <v>0</v>
      </c>
      <c r="H123" s="128">
        <f>IF(H131=0,AB!H148,0)</f>
        <v>0</v>
      </c>
      <c r="I123" s="190">
        <f>IF(I131=0,AB!I148,0)</f>
        <v>0</v>
      </c>
    </row>
    <row r="124" spans="1:9" hidden="1">
      <c r="A124" s="411"/>
      <c r="B124" s="62"/>
      <c r="C124" s="128">
        <f>IF(C123&gt;0,C123,C122)</f>
        <v>0</v>
      </c>
      <c r="D124" s="128">
        <f t="shared" ref="D124:I124" si="23">IF(D123&gt;0,D123,D122)</f>
        <v>0</v>
      </c>
      <c r="E124" s="128">
        <f t="shared" si="23"/>
        <v>0</v>
      </c>
      <c r="F124" s="128">
        <f t="shared" si="23"/>
        <v>0</v>
      </c>
      <c r="G124" s="128">
        <f t="shared" si="23"/>
        <v>0</v>
      </c>
      <c r="H124" s="128">
        <f t="shared" si="23"/>
        <v>0</v>
      </c>
      <c r="I124" s="190">
        <f t="shared" si="23"/>
        <v>0</v>
      </c>
    </row>
    <row r="125" spans="1:9">
      <c r="A125" s="409">
        <f>IF(B125&gt;0,"./. Werbungskosten bei Erwerbstätigkeit",0)</f>
        <v>0</v>
      </c>
      <c r="B125" s="284">
        <f>SUM(C125:I125)</f>
        <v>0</v>
      </c>
      <c r="C125" s="128">
        <f>IF(AND(C134&gt;0,C54&lt;=400),0,IF(AND(C63&gt;200,AB!C158&gt;AB!C156),AB!C147,IF(AND($A$62="Gewinn aus selbständiger Tätigkeit",C62&gt;0),0,IF(AND(C54&lt;100,C63&lt;200,C76&gt;0),0,IF(AND(C54+C57&lt;400,C60="auf 6 Monate"),0,C124)))))</f>
        <v>0</v>
      </c>
      <c r="D125" s="128">
        <f>IF(AND(D134&gt;0,D54&lt;=400),0,IF(AND(D63&gt;200,AB!D158&gt;AB!D156),AB!D147,IF(AND($A$62="Gewinn aus selbständiger Tätigkeit",D62&gt;0),0,IF(AND(D54&lt;100,D63&lt;200,D76&gt;0),0,IF(AND(D54+D57&lt;400,D60="auf 6 Monate"),0,D124)))))</f>
        <v>0</v>
      </c>
      <c r="E125" s="128">
        <f>IF(AND(E134&gt;0,E54&lt;=400),0,IF(AND(E63&gt;200,AB!E158&gt;AB!E156),AB!E147,IF(AND($A$62="Gewinn aus selbständiger Tätigkeit",E62&gt;0),0,IF(AND(E54&lt;100,E63&lt;200,E76&gt;0),0,IF(AND(E54+E57&lt;400,E60="auf 6 Monate"),0,E124)))))</f>
        <v>0</v>
      </c>
      <c r="F125" s="128">
        <f>IF(AND(F134&gt;0,F54&lt;=400),0,IF(AND(F63&gt;200,AB!F158&gt;AB!F156),AB!F147,IF(AND($A$62="Gewinn aus selbständiger Tätigkeit",F62&gt;0),0,IF(AND(F54&lt;100,F63&lt;200,F76&gt;0),0,IF(AND(F54+F57&lt;400,F60="auf 6 Monate"),0,F124)))))</f>
        <v>0</v>
      </c>
      <c r="G125" s="128">
        <f>IF(AND(G134&gt;0,G54&lt;=400),0,IF(AND(G63&gt;200,AB!G158&gt;AB!G156),AB!G147,IF(AND($A$62="Gewinn aus selbständiger Tätigkeit",G62&gt;0),0,IF(AND(G54&lt;100,G63&lt;200,G76&gt;0),0,IF(AND(G54+G57&lt;400,G60="auf 6 Monate"),0,G124)))))</f>
        <v>0</v>
      </c>
      <c r="H125" s="128">
        <f>IF(AND(H134&gt;0,H54&lt;=400),0,IF(AND(H63&gt;200,AB!H158&gt;AB!H156),AB!H147,IF(AND($A$62="Gewinn aus selbständiger Tätigkeit",H62&gt;0),0,IF(AND(H54&lt;100,H63&lt;200,H76&gt;0),0,IF(AND(H54+H57&lt;400,H60="auf 6 Monate"),0,H124)))))</f>
        <v>0</v>
      </c>
      <c r="I125" s="190">
        <f>IF(AND(I134&gt;0,I54&lt;=400),0,IF(AND(I63&gt;200,AB!I158&gt;AB!I156),AB!I147,IF(AND($A$62="Gewinn aus selbständiger Tätigkeit",I62&gt;0),0,IF(AND(I54&lt;100,I63&lt;200,I76&gt;0),0,IF(AND(I54+I57&lt;400,I60="auf 6 Monate"),0,I124)))))</f>
        <v>0</v>
      </c>
    </row>
    <row r="126" spans="1:9" hidden="1">
      <c r="A126" s="409"/>
      <c r="B126" s="62"/>
      <c r="C126" s="128">
        <f>AB!C215</f>
        <v>0</v>
      </c>
      <c r="D126" s="128">
        <f>AB!D215</f>
        <v>0</v>
      </c>
      <c r="E126" s="128">
        <f>AB!E215</f>
        <v>0</v>
      </c>
      <c r="F126" s="128">
        <f>AB!F215</f>
        <v>0</v>
      </c>
      <c r="G126" s="128">
        <f>AB!G215</f>
        <v>0</v>
      </c>
      <c r="H126" s="128">
        <f>AB!H215</f>
        <v>0</v>
      </c>
      <c r="I126" s="190">
        <f>AB!I215</f>
        <v>0</v>
      </c>
    </row>
    <row r="127" spans="1:9">
      <c r="A127" s="409">
        <f>IF(B127&gt;0,"./. notwendige Ausgaben",0)</f>
        <v>0</v>
      </c>
      <c r="B127" s="284">
        <f>SUM(C127:I127)</f>
        <v>0</v>
      </c>
      <c r="C127" s="128">
        <f>IF(C73=C72,C126,0)</f>
        <v>0</v>
      </c>
      <c r="D127" s="128">
        <f t="shared" ref="D127:I127" si="24">IF(D73=D72,D126,0)</f>
        <v>0</v>
      </c>
      <c r="E127" s="128">
        <f t="shared" si="24"/>
        <v>0</v>
      </c>
      <c r="F127" s="128">
        <f t="shared" si="24"/>
        <v>0</v>
      </c>
      <c r="G127" s="128">
        <f t="shared" si="24"/>
        <v>0</v>
      </c>
      <c r="H127" s="128">
        <f t="shared" si="24"/>
        <v>0</v>
      </c>
      <c r="I127" s="190">
        <f t="shared" si="24"/>
        <v>0</v>
      </c>
    </row>
    <row r="128" spans="1:9" ht="16.5" hidden="1" customHeight="1">
      <c r="A128" s="411"/>
      <c r="B128" s="62"/>
      <c r="C128" s="62">
        <f>IF(AB!C160&gt;200,0,AB!C160)</f>
        <v>0</v>
      </c>
      <c r="D128" s="62">
        <f>IF(AB!D160&gt;200,0,AB!D160)</f>
        <v>0</v>
      </c>
      <c r="E128" s="62">
        <f>IF(AB!E160&gt;200,0,AB!E160)</f>
        <v>0</v>
      </c>
      <c r="F128" s="62">
        <f>IF(AB!F160&gt;200,0,AB!F160)</f>
        <v>0</v>
      </c>
      <c r="G128" s="62">
        <f>IF(AB!G160&gt;200,0,AB!G160)</f>
        <v>0</v>
      </c>
      <c r="H128" s="62">
        <f>IF(AB!H160&gt;200,0,AB!H160)</f>
        <v>0</v>
      </c>
      <c r="I128" s="110">
        <f>IF(AB!I160&gt;200,0,AB!I160)</f>
        <v>0</v>
      </c>
    </row>
    <row r="129" spans="1:9" ht="16.5" hidden="1" customHeight="1">
      <c r="A129" s="411"/>
      <c r="B129" s="62"/>
      <c r="C129" s="62">
        <f>IF(AND(AB!C131+AB!C139&gt;400,AB!C159&gt;100,AB!C138&gt;0,AB!C158+100&gt;AB!C159),AB!C158+100,IF(OR(AB!C152&gt;100,AB!C155&gt;100),0,IF(AND(AB!C178&gt;0,AB!C189&gt;100+AB!C188),0,C128)))</f>
        <v>0</v>
      </c>
      <c r="D129" s="62">
        <f>IF(AND(AB!D131+AB!D139&gt;400,AB!D159&gt;100,AB!D138&gt;0,AB!D158+100&gt;AB!D159),AB!D158+100,IF(OR(AB!D152&gt;100,AB!D155&gt;100),0,IF(AND(AB!D178&gt;0,AB!D189&gt;100+AB!D188),0,D128)))</f>
        <v>0</v>
      </c>
      <c r="E129" s="62">
        <f>IF(AND(AB!E131+AB!E139&gt;400,AB!E159&gt;100,AB!E138&gt;0,AB!E158+100&gt;AB!E159),AB!E158+100,IF(OR(AB!E152&gt;100,AB!E155&gt;100),0,IF(AND(AB!E178&gt;0,AB!E189&gt;100+AB!E188),0,E128)))</f>
        <v>0</v>
      </c>
      <c r="F129" s="62">
        <f>IF(AND(AB!F131+AB!F139&gt;400,AB!F159&gt;100,AB!F138&gt;0,AB!F158+100&gt;AB!F159),AB!F158+100,IF(OR(AB!F152&gt;100,AB!F155&gt;100),0,IF(AND(AB!F178&gt;0,AB!F189&gt;100+AB!F188),0,F128)))</f>
        <v>0</v>
      </c>
      <c r="G129" s="62">
        <f>IF(AND(AB!G131+AB!G139&gt;400,AB!G159&gt;100,AB!G138&gt;0,AB!G158+100&gt;AB!G159),AB!G158+100,IF(OR(AB!G152&gt;100,AB!G155&gt;100),0,IF(AND(AB!G178&gt;0,AB!G189&gt;100+AB!G188),0,G128)))</f>
        <v>0</v>
      </c>
      <c r="H129" s="62">
        <f>IF(AND(AB!H131+AB!H139&gt;400,AB!H159&gt;100,AB!H138&gt;0,AB!H158+100&gt;AB!H159),AB!H158+100,IF(OR(AB!H152&gt;100,AB!H155&gt;100),0,IF(AND(AB!H178&gt;0,AB!H189&gt;100+AB!H188),0,H128)))</f>
        <v>0</v>
      </c>
      <c r="I129" s="110">
        <f>IF(AND(AB!I131+AB!I139&gt;400,AB!I159&gt;100,AB!I138&gt;0,AB!I158+100&gt;AB!I159),AB!I158+100,IF(OR(AB!I152&gt;100,AB!I155&gt;100),0,IF(AND(AB!I178&gt;0,AB!I189&gt;100+AB!I188),0,I128)))</f>
        <v>0</v>
      </c>
    </row>
    <row r="130" spans="1:9" ht="16.5" hidden="1" customHeight="1">
      <c r="A130" s="411"/>
      <c r="B130" s="62"/>
      <c r="C130" s="62">
        <f>IF(OR(AB!C160=100,AB!C160=200),AB!C160,C129)</f>
        <v>0</v>
      </c>
      <c r="D130" s="62">
        <f>IF(OR(AB!D160=100,AB!D160=200),AB!D160,D129)</f>
        <v>0</v>
      </c>
      <c r="E130" s="62">
        <f>IF(OR(AB!E160=100,AB!E160=200),AB!E160,E129)</f>
        <v>0</v>
      </c>
      <c r="F130" s="62">
        <f>IF(OR(AB!F160=100,AB!F160=200),AB!F160,F129)</f>
        <v>0</v>
      </c>
      <c r="G130" s="62">
        <f>IF(OR(AB!G160=100,AB!G160=200),AB!G160,G129)</f>
        <v>0</v>
      </c>
      <c r="H130" s="62">
        <f>IF(OR(AB!H160=100,AB!H160=200),AB!H160,H129)</f>
        <v>0</v>
      </c>
      <c r="I130" s="110">
        <f>IF(OR(AB!I160=100,AB!I160=200),AB!I160,I129)</f>
        <v>0</v>
      </c>
    </row>
    <row r="131" spans="1:9" ht="16.5" hidden="1" customHeight="1">
      <c r="A131" s="408">
        <f>IF(B131&gt;0,"./. Grundfreibetrag Lohn / Ehrenamt",0)</f>
        <v>0</v>
      </c>
      <c r="B131" s="62"/>
      <c r="C131" s="62">
        <f>IF(AND(AB!C178&gt;0,AB!C178&lt;AB!C189),C130,IF(AND(AB!C178&gt;0,C129=0,AB!C189&gt;100),0,IF(C128&lt;100,C128,C130)))</f>
        <v>0</v>
      </c>
      <c r="D131" s="62">
        <f>IF(AND(AB!D178&gt;0,AB!D178&lt;AB!D189),D130,IF(AND(AB!D178&gt;0,D129=0,AB!D189&gt;100),0,IF(D128&lt;100,D128,D130)))</f>
        <v>0</v>
      </c>
      <c r="E131" s="62">
        <f>IF(AND(AB!E178&gt;0,AB!E178&lt;AB!E189),E130,IF(AND(AB!E178&gt;0,E129=0,AB!E189&gt;100),0,IF(E128&lt;100,E128,E130)))</f>
        <v>0</v>
      </c>
      <c r="F131" s="62">
        <f>IF(AND(AB!F178&gt;0,AB!F178&lt;AB!F189),F130,IF(AND(AB!F178&gt;0,F129=0,AB!F189&gt;100),0,IF(F128&lt;100,F128,F130)))</f>
        <v>0</v>
      </c>
      <c r="G131" s="62">
        <f>IF(AND(AB!G178&gt;0,AB!G178&lt;AB!G189),G130,IF(AND(AB!G178&gt;0,G129=0,AB!G189&gt;100),0,IF(G128&lt;100,G128,G130)))</f>
        <v>0</v>
      </c>
      <c r="H131" s="62">
        <f>IF(AND(AB!H178&gt;0,AB!H178&lt;AB!H189),H130,IF(AND(AB!H178&gt;0,H129=0,AB!H189&gt;100),0,IF(H128&lt;100,H128,H130)))</f>
        <v>0</v>
      </c>
      <c r="I131" s="110">
        <f>IF(AND(AB!I178&gt;0,AB!I178&lt;AB!I189),I130,IF(AND(AB!I178&gt;0,I129=0,AB!I189&gt;100),0,IF(I128&lt;100,I128,I130)))</f>
        <v>0</v>
      </c>
    </row>
    <row r="132" spans="1:9" ht="16.5" hidden="1" customHeight="1">
      <c r="A132" s="408"/>
      <c r="B132" s="62"/>
      <c r="C132" s="62">
        <f>IF(AND(C54=0,C59&gt;0,C60="auf 6 Monate"),IF(AND(C61=0,C59&gt;0,C60="auf 6 Monate"),0,C131),C131)</f>
        <v>0</v>
      </c>
      <c r="D132" s="62">
        <f t="shared" ref="D132:I132" si="25">IF(AND(D54=0,D59&gt;0,D60="auf 6 Monate"),IF(AND(D61=0,D59&gt;0,D60="auf 6 Monate"),0,D131),D131)</f>
        <v>0</v>
      </c>
      <c r="E132" s="62">
        <f t="shared" si="25"/>
        <v>0</v>
      </c>
      <c r="F132" s="62">
        <f t="shared" si="25"/>
        <v>0</v>
      </c>
      <c r="G132" s="62">
        <f t="shared" si="25"/>
        <v>0</v>
      </c>
      <c r="H132" s="62">
        <f t="shared" si="25"/>
        <v>0</v>
      </c>
      <c r="I132" s="110">
        <f t="shared" si="25"/>
        <v>0</v>
      </c>
    </row>
    <row r="133" spans="1:9" ht="16.5" customHeight="1">
      <c r="A133" s="408">
        <f>IF(B133&gt;0,"./. Grundfreibetrag Lohn / Ehrenamt",0)</f>
        <v>0</v>
      </c>
      <c r="B133" s="792">
        <f t="shared" ref="B133" si="26">SUM(C133:I133)</f>
        <v>0</v>
      </c>
      <c r="C133" s="469">
        <f>IF(AND(C54&gt;0,C54+C57&lt;400,C60="auf 6 Monate"),100,C132)</f>
        <v>0</v>
      </c>
      <c r="D133" s="469">
        <f t="shared" ref="D133:I133" si="27">IF(AND(D54&gt;0,D54+D57&lt;400,D60="auf 6 Monate"),100,D132)</f>
        <v>0</v>
      </c>
      <c r="E133" s="469">
        <f t="shared" si="27"/>
        <v>0</v>
      </c>
      <c r="F133" s="469">
        <f t="shared" si="27"/>
        <v>0</v>
      </c>
      <c r="G133" s="469">
        <f t="shared" si="27"/>
        <v>0</v>
      </c>
      <c r="H133" s="469">
        <f t="shared" si="27"/>
        <v>0</v>
      </c>
      <c r="I133" s="470">
        <f t="shared" si="27"/>
        <v>0</v>
      </c>
    </row>
    <row r="134" spans="1:9" ht="16.5" customHeight="1">
      <c r="A134" s="408">
        <f>IF(B134&gt;0,"./. Freibetrag Freiwilligendienste",0)</f>
        <v>0</v>
      </c>
      <c r="B134" s="284">
        <f t="shared" ref="B134:B142" si="28">SUM(C134:I134)</f>
        <v>0</v>
      </c>
      <c r="C134" s="62">
        <f>AB!C171</f>
        <v>0</v>
      </c>
      <c r="D134" s="62">
        <f>AB!D171</f>
        <v>0</v>
      </c>
      <c r="E134" s="62">
        <f>AB!E171</f>
        <v>0</v>
      </c>
      <c r="F134" s="62">
        <f>AB!F171</f>
        <v>0</v>
      </c>
      <c r="G134" s="62">
        <f>AB!G171</f>
        <v>0</v>
      </c>
      <c r="H134" s="62">
        <f>AB!H171</f>
        <v>0</v>
      </c>
      <c r="I134" s="110">
        <f>AB!I171</f>
        <v>0</v>
      </c>
    </row>
    <row r="135" spans="1:9" s="212" customFormat="1" ht="16.5" hidden="1" customHeight="1">
      <c r="A135" s="409"/>
      <c r="B135" s="62"/>
      <c r="C135" s="62">
        <f>IF(AND(AB!C195&gt;0,C63=0),C54*30%,IF(AND(AB!C34="nein",C63=0),C54*30%,0))</f>
        <v>0</v>
      </c>
      <c r="D135" s="62">
        <f>IF(AND(AB!D195&gt;0,D63=0),D54*30%,IF(AND(AB!D34="nein",D63=0),D54*30%,0))</f>
        <v>0</v>
      </c>
      <c r="E135" s="62">
        <f>IF(AND(AB!E18&gt;14,AB!E34="nein",E63=0),E54*30%,0)</f>
        <v>0</v>
      </c>
      <c r="F135" s="62">
        <f>IF(AND(AB!F18&gt;14,AB!F34="nein",F63=0),F54*30%,0)</f>
        <v>0</v>
      </c>
      <c r="G135" s="62">
        <f>IF(AND(AB!G18&gt;14,AB!G34="nein",G63=0),G54*30%,0)</f>
        <v>0</v>
      </c>
      <c r="H135" s="62">
        <f>IF(AND(AB!H18&gt;14,AB!H34="nein",H63=0),H54*30%,0)</f>
        <v>0</v>
      </c>
      <c r="I135" s="110">
        <f>IF(AND(AB!I18&gt;14,AB!I34="nein",I63=0),I54*30%,0)</f>
        <v>0</v>
      </c>
    </row>
    <row r="136" spans="1:9" s="212" customFormat="1" ht="16.5" hidden="1" customHeight="1">
      <c r="A136" s="409"/>
      <c r="B136" s="62"/>
      <c r="C136" s="62">
        <f>IF(AND(AB!C195&gt;0,C135=0,C63&gt;0),0,IF(AND(AB!C34="nein",C135=0,C63&gt;0),0,IF(C135&gt;0,MIN(C135,AB!$C$227*50%),D206)))</f>
        <v>0</v>
      </c>
      <c r="D136" s="62">
        <f>IF(AND(AB!D195&gt;0,D135=0,D63&gt;0),0,IF(AND(AB!D34="nein",D135=0,D63&gt;0),0,IF(D135&gt;0,MIN(D135,AB!$C$227*50%),D211)))</f>
        <v>0</v>
      </c>
      <c r="E136" s="62">
        <f>IF(AND(AB!E18&gt;14,AB!E34="nein",E135=0,E63&gt;0),0,IF(AB!E18&lt;15,0,IF(E135&gt;0,MIN(E135,AB!$C$227*50%),D216)))</f>
        <v>0</v>
      </c>
      <c r="F136" s="62">
        <f>IF(AND(AB!F18&gt;14,AB!F34="nein",F135=0,F63&gt;0),0,IF(AB!F18&lt;15,0,IF(F135&gt;0,MIN(F135,AB!$C$227*50%),D221)))</f>
        <v>0</v>
      </c>
      <c r="G136" s="62">
        <f>IF(AND(AB!G18&gt;14,AB!G34="nein",G135=0,G63&gt;0),0,IF(AB!G18&lt;15,0,IF(G135&gt;0,MIN(G135,AB!$C$227*50%),D226)))</f>
        <v>0</v>
      </c>
      <c r="H136" s="62">
        <f>IF(AND(AB!H18&gt;14,AB!H34="nein",H135=0,H63&gt;0),0,IF(AB!H18&lt;15,0,IF(H135&gt;0,MIN(H135,AB!$C$227*50%),D231)))</f>
        <v>0</v>
      </c>
      <c r="I136" s="110">
        <f>IF(AND(AB!I18&gt;14,AB!I34="nein",I135=0,I63&gt;0),0,IF(AB!I18&lt;15,0,IF(I135&gt;0,MIN(I135,AB!$C$227*50%),D236)))</f>
        <v>0</v>
      </c>
    </row>
    <row r="137" spans="1:9" s="212" customFormat="1" ht="16.5" hidden="1" customHeight="1">
      <c r="A137" s="409"/>
      <c r="B137" s="62"/>
      <c r="C137" s="62">
        <f>IF(C54+C63-C131=0,0,IF(C54+C57+C63-C131-C136&lt;0,C54+C57+C63-C131,C136))</f>
        <v>0</v>
      </c>
      <c r="D137" s="62">
        <f t="shared" ref="D137:I137" si="29">IF(D54+D63-D131=0,0,IF(D54+D57+D63-D131-D136&lt;0,D54+D57+D63-D131,D136))</f>
        <v>0</v>
      </c>
      <c r="E137" s="62">
        <f t="shared" si="29"/>
        <v>0</v>
      </c>
      <c r="F137" s="62">
        <f t="shared" si="29"/>
        <v>0</v>
      </c>
      <c r="G137" s="62">
        <f t="shared" si="29"/>
        <v>0</v>
      </c>
      <c r="H137" s="62">
        <f t="shared" si="29"/>
        <v>0</v>
      </c>
      <c r="I137" s="110">
        <f t="shared" si="29"/>
        <v>0</v>
      </c>
    </row>
    <row r="138" spans="1:9" s="212" customFormat="1" ht="16.5" hidden="1" customHeight="1">
      <c r="A138" s="409"/>
      <c r="B138" s="62"/>
      <c r="C138" s="62">
        <f>IF(AND(C59&gt;0,C59=C58),D252,C137)</f>
        <v>0</v>
      </c>
      <c r="D138" s="62">
        <f>IF(AND(D59&gt;0,D59=D58),D257,D137)</f>
        <v>0</v>
      </c>
      <c r="E138" s="62">
        <f>IF(AND(E59&gt;0,E59=E58),D262,E137)</f>
        <v>0</v>
      </c>
      <c r="F138" s="62">
        <f>IF(AND(F59&gt;0,F59=F58),D267,F137)</f>
        <v>0</v>
      </c>
      <c r="G138" s="62">
        <f>IF(AND(G59&gt;0,G59=G58),D272,G137)</f>
        <v>0</v>
      </c>
      <c r="H138" s="62">
        <f>IF(AND(H59&gt;0,H59=H58),D277,H137)</f>
        <v>0</v>
      </c>
      <c r="I138" s="110">
        <f>IF(AND(I59&gt;0,I59=I58),D282,I137)</f>
        <v>0</v>
      </c>
    </row>
    <row r="139" spans="1:9" s="212" customFormat="1" ht="16.5" customHeight="1">
      <c r="A139" s="409">
        <f>IF(B139&gt;0,"./. Freibetrag bei Erwerbstätigkeit",0)</f>
        <v>0</v>
      </c>
      <c r="B139" s="792">
        <f t="shared" si="28"/>
        <v>0</v>
      </c>
      <c r="C139" s="62">
        <f>C138</f>
        <v>0</v>
      </c>
      <c r="D139" s="62">
        <f>D138</f>
        <v>0</v>
      </c>
      <c r="E139" s="62">
        <f>IF(AB!E18&gt;14,E138,0)</f>
        <v>0</v>
      </c>
      <c r="F139" s="62">
        <f>IF(AB!F18&gt;14,F138,0)</f>
        <v>0</v>
      </c>
      <c r="G139" s="62">
        <f>IF(AB!G18&gt;14,G138,0)</f>
        <v>0</v>
      </c>
      <c r="H139" s="62">
        <f>IF(AB!H18&gt;14,H138,0)</f>
        <v>0</v>
      </c>
      <c r="I139" s="110">
        <f>IF(AB!I18&gt;14,I138,0)</f>
        <v>0</v>
      </c>
    </row>
    <row r="140" spans="1:9" s="212" customFormat="1" ht="16.5" customHeight="1">
      <c r="A140" s="409">
        <f>IF(B140&gt;0,"./. Unterhaltsverpflichtungen",0)</f>
        <v>0</v>
      </c>
      <c r="B140" s="284">
        <f t="shared" si="28"/>
        <v>0</v>
      </c>
      <c r="C140" s="62">
        <f>IF(C77=0,0,AB!C216)</f>
        <v>0</v>
      </c>
      <c r="D140" s="62">
        <f>IF(D77=0,0,AB!D216)</f>
        <v>0</v>
      </c>
      <c r="E140" s="62">
        <f>IF(E77=0,0,AB!E216)</f>
        <v>0</v>
      </c>
      <c r="F140" s="62">
        <f>IF(F77=0,0,AB!F216)</f>
        <v>0</v>
      </c>
      <c r="G140" s="62">
        <f>IF(G77=0,0,AB!G216)</f>
        <v>0</v>
      </c>
      <c r="H140" s="62">
        <f>IF(H77=0,0,AB!H216)</f>
        <v>0</v>
      </c>
      <c r="I140" s="110">
        <f>IF(I77=0,0,AB!I216)</f>
        <v>0</v>
      </c>
    </row>
    <row r="141" spans="1:9" s="212" customFormat="1" ht="16.5" customHeight="1">
      <c r="A141" s="415">
        <f>IF(B141&gt;0,"./. Elterngeldfreibetrag",0)</f>
        <v>0</v>
      </c>
      <c r="B141" s="284">
        <f t="shared" si="28"/>
        <v>0</v>
      </c>
      <c r="C141" s="62">
        <f>AB!C177</f>
        <v>0</v>
      </c>
      <c r="D141" s="62">
        <f>AB!D177</f>
        <v>0</v>
      </c>
      <c r="E141" s="62"/>
      <c r="F141" s="62"/>
      <c r="G141" s="298"/>
      <c r="H141" s="298"/>
      <c r="I141" s="299"/>
    </row>
    <row r="142" spans="1:9" s="212" customFormat="1" ht="18" customHeight="1" thickBot="1">
      <c r="A142" s="416">
        <f>IF(AND(B142&gt;0,C142=AB!C187),"./. Grundfreibetrag Ausbildungsförderung",IF(AND(B142&gt;0,C142=AB!C188),"./. Ausgaben für die Ausbildung",0))</f>
        <v>0</v>
      </c>
      <c r="B142" s="285">
        <f t="shared" si="28"/>
        <v>0</v>
      </c>
      <c r="C142" s="286">
        <f>IF(AB!C189&gt;100,AB!C188,IF(AND(AB!C188&gt;0,AB!C188&gt;AB!C187),AB!C188,AB!C187))</f>
        <v>0</v>
      </c>
      <c r="D142" s="286">
        <f>IF(AB!D189&gt;100,AB!D188,IF(AND(AB!D188&gt;0,AB!D188&gt;AB!D187),AB!D188,AB!D187))</f>
        <v>0</v>
      </c>
      <c r="E142" s="286">
        <f>IF(AB!E189&gt;100,AB!E188,IF(AND(AB!E188&gt;0,AB!E188&gt;AB!E187),AB!E188,AB!E187))</f>
        <v>0</v>
      </c>
      <c r="F142" s="286">
        <f>IF(AB!F189&gt;100,AB!F188,IF(AND(AB!F188&gt;0,AB!F188&gt;AB!F187),AB!F188,AB!F187))</f>
        <v>0</v>
      </c>
      <c r="G142" s="286">
        <f>IF(AB!G189&gt;100,AB!G188,IF(AND(AB!G188&gt;0,AB!G188&gt;AB!G187),AB!G188,AB!G187))</f>
        <v>0</v>
      </c>
      <c r="H142" s="286">
        <f>IF(AB!H189&gt;100,AB!H188,IF(AND(AB!H188&gt;0,AB!H188&gt;AB!H187),AB!H188,AB!H187))</f>
        <v>0</v>
      </c>
      <c r="I142" s="287">
        <f>IF(AB!I189&gt;100,AB!I188,IF(AND(AB!I188&gt;0,AB!I188&gt;AB!I187),AB!I188,AB!I187))</f>
        <v>0</v>
      </c>
    </row>
    <row r="143" spans="1:9" s="212" customFormat="1" ht="18" hidden="1" customHeight="1" thickTop="1">
      <c r="A143" s="250"/>
      <c r="B143" s="137">
        <f>SUM(C143:I143)</f>
        <v>0</v>
      </c>
      <c r="C143" s="612">
        <f>C77-C85-C93-C100-C107-C114-C121-C125-C127-C133-C134-C139-C140-C141-C142</f>
        <v>0</v>
      </c>
      <c r="D143" s="612">
        <f t="shared" ref="D143:I143" si="30">D77-D85-D93-D100-D107-D114-D121-D125-D127-D133-D134-D139-D140-D141-D142</f>
        <v>0</v>
      </c>
      <c r="E143" s="612">
        <f t="shared" si="30"/>
        <v>0</v>
      </c>
      <c r="F143" s="612">
        <f t="shared" si="30"/>
        <v>0</v>
      </c>
      <c r="G143" s="612">
        <f t="shared" si="30"/>
        <v>0</v>
      </c>
      <c r="H143" s="612">
        <f t="shared" si="30"/>
        <v>0</v>
      </c>
      <c r="I143" s="717">
        <f t="shared" si="30"/>
        <v>0</v>
      </c>
    </row>
    <row r="144" spans="1:9" s="212" customFormat="1" ht="21" customHeight="1" thickTop="1" thickBot="1">
      <c r="A144" s="344" t="s">
        <v>67</v>
      </c>
      <c r="B144" s="280">
        <f>SUM(C144:I144)</f>
        <v>0</v>
      </c>
      <c r="C144" s="280">
        <f>IF(C143&lt;0,0,C143)</f>
        <v>0</v>
      </c>
      <c r="D144" s="280">
        <f t="shared" ref="D144:I144" si="31">IF(D143&lt;0,0,D143)</f>
        <v>0</v>
      </c>
      <c r="E144" s="280">
        <f t="shared" si="31"/>
        <v>0</v>
      </c>
      <c r="F144" s="280">
        <f t="shared" si="31"/>
        <v>0</v>
      </c>
      <c r="G144" s="280">
        <f t="shared" si="31"/>
        <v>0</v>
      </c>
      <c r="H144" s="280">
        <f t="shared" si="31"/>
        <v>0</v>
      </c>
      <c r="I144" s="281">
        <f t="shared" si="31"/>
        <v>0</v>
      </c>
    </row>
    <row r="145" spans="1:11" s="212" customFormat="1" ht="10.5" customHeight="1"/>
    <row r="146" spans="1:11" ht="9.75" customHeight="1" thickBot="1"/>
    <row r="147" spans="1:11" s="212" customFormat="1" ht="21.75" customHeight="1">
      <c r="A147" s="221"/>
      <c r="B147" s="345" t="s">
        <v>44</v>
      </c>
      <c r="C147" s="222"/>
      <c r="D147" s="222"/>
      <c r="E147" s="222"/>
      <c r="F147" s="222"/>
      <c r="G147" s="222"/>
      <c r="H147" s="222"/>
      <c r="I147" s="223"/>
    </row>
    <row r="148" spans="1:11" s="212" customFormat="1" ht="18.75" customHeight="1">
      <c r="A148" s="224"/>
      <c r="B148" s="341" t="s">
        <v>1</v>
      </c>
      <c r="C148" s="341" t="str">
        <f>AB!C4</f>
        <v>Antragsteller</v>
      </c>
      <c r="D148" s="341" t="str">
        <f>AB!D4</f>
        <v>Partner(in)</v>
      </c>
      <c r="E148" s="341" t="str">
        <f>AB!E4</f>
        <v>Kind 1</v>
      </c>
      <c r="F148" s="341" t="s">
        <v>8</v>
      </c>
      <c r="G148" s="341" t="s">
        <v>9</v>
      </c>
      <c r="H148" s="341" t="s">
        <v>10</v>
      </c>
      <c r="I148" s="342" t="s">
        <v>34</v>
      </c>
    </row>
    <row r="149" spans="1:11" s="212" customFormat="1" ht="17.25" customHeight="1">
      <c r="A149" s="230" t="s">
        <v>0</v>
      </c>
      <c r="B149" s="284">
        <f>SUM(C149:I149)</f>
        <v>409</v>
      </c>
      <c r="C149" s="295">
        <f t="shared" ref="C149:I149" si="32">C50</f>
        <v>409</v>
      </c>
      <c r="D149" s="295">
        <f t="shared" si="32"/>
        <v>0</v>
      </c>
      <c r="E149" s="295">
        <f t="shared" si="32"/>
        <v>0</v>
      </c>
      <c r="F149" s="295">
        <f t="shared" si="32"/>
        <v>0</v>
      </c>
      <c r="G149" s="295">
        <f t="shared" si="32"/>
        <v>0</v>
      </c>
      <c r="H149" s="295">
        <f t="shared" si="32"/>
        <v>0</v>
      </c>
      <c r="I149" s="296">
        <f t="shared" si="32"/>
        <v>0</v>
      </c>
    </row>
    <row r="150" spans="1:11" s="212" customFormat="1" ht="19.5" customHeight="1" thickBot="1">
      <c r="A150" s="245">
        <f>IF(B150&gt;0,"./. Einkommen Kinder",0)</f>
        <v>0</v>
      </c>
      <c r="B150" s="433">
        <f>SUM(C150:I150)</f>
        <v>0</v>
      </c>
      <c r="C150" s="311"/>
      <c r="D150" s="311"/>
      <c r="E150" s="312">
        <f>E144</f>
        <v>0</v>
      </c>
      <c r="F150" s="312">
        <f>F144</f>
        <v>0</v>
      </c>
      <c r="G150" s="312">
        <f>G144</f>
        <v>0</v>
      </c>
      <c r="H150" s="312">
        <f>H144</f>
        <v>0</v>
      </c>
      <c r="I150" s="313">
        <f>I144</f>
        <v>0</v>
      </c>
    </row>
    <row r="151" spans="1:11" s="212" customFormat="1" ht="17.25" hidden="1" customHeight="1" thickTop="1">
      <c r="A151" s="246"/>
      <c r="B151" s="314"/>
      <c r="C151" s="314"/>
      <c r="D151" s="314"/>
      <c r="E151" s="128">
        <f>E149-E150</f>
        <v>0</v>
      </c>
      <c r="F151" s="128">
        <f>F149-F150</f>
        <v>0</v>
      </c>
      <c r="G151" s="128">
        <f>G149-G150</f>
        <v>0</v>
      </c>
      <c r="H151" s="128">
        <f>H149-H150</f>
        <v>0</v>
      </c>
      <c r="I151" s="190">
        <f>I149-I150</f>
        <v>0</v>
      </c>
    </row>
    <row r="152" spans="1:11" ht="17.25" hidden="1" customHeight="1">
      <c r="A152" s="243"/>
      <c r="B152" s="315"/>
      <c r="C152" s="316"/>
      <c r="D152" s="316"/>
      <c r="E152" s="316">
        <f>IF(E151&lt;0,0,E151)</f>
        <v>0</v>
      </c>
      <c r="F152" s="316">
        <f>IF(F151&lt;0,0,F151)</f>
        <v>0</v>
      </c>
      <c r="G152" s="316">
        <f>IF(G151&lt;0,0,G151)</f>
        <v>0</v>
      </c>
      <c r="H152" s="316">
        <f>IF(H151&lt;0,0,H151)</f>
        <v>0</v>
      </c>
      <c r="I152" s="317">
        <f>IF(I151&lt;0,0,I151)</f>
        <v>0</v>
      </c>
    </row>
    <row r="153" spans="1:11" ht="19.5" customHeight="1" thickTop="1">
      <c r="A153" s="230" t="s">
        <v>36</v>
      </c>
      <c r="B153" s="284">
        <f>SUM(C153:I153)</f>
        <v>409</v>
      </c>
      <c r="C153" s="295">
        <f>C149</f>
        <v>409</v>
      </c>
      <c r="D153" s="295">
        <f>D149</f>
        <v>0</v>
      </c>
      <c r="E153" s="295">
        <f>E152</f>
        <v>0</v>
      </c>
      <c r="F153" s="295">
        <f>F152</f>
        <v>0</v>
      </c>
      <c r="G153" s="295">
        <f>G152</f>
        <v>0</v>
      </c>
      <c r="H153" s="295">
        <f>H152</f>
        <v>0</v>
      </c>
      <c r="I153" s="296">
        <f>I152</f>
        <v>0</v>
      </c>
      <c r="K153" s="439"/>
    </row>
    <row r="154" spans="1:11" ht="18" hidden="1" customHeight="1">
      <c r="A154" s="230"/>
      <c r="B154" s="284">
        <f>SUM(C154:I154)</f>
        <v>409</v>
      </c>
      <c r="C154" s="295">
        <f t="shared" ref="C154:I154" si="33">IF(C10="ja",C153,0)</f>
        <v>409</v>
      </c>
      <c r="D154" s="295">
        <f t="shared" si="33"/>
        <v>0</v>
      </c>
      <c r="E154" s="295">
        <f>IF(AND(AB!E37=0,E10="ja"),E153,0)</f>
        <v>0</v>
      </c>
      <c r="F154" s="295">
        <f t="shared" si="33"/>
        <v>0</v>
      </c>
      <c r="G154" s="295">
        <f t="shared" si="33"/>
        <v>0</v>
      </c>
      <c r="H154" s="295">
        <f t="shared" si="33"/>
        <v>0</v>
      </c>
      <c r="I154" s="296">
        <f t="shared" si="33"/>
        <v>0</v>
      </c>
    </row>
    <row r="155" spans="1:11" ht="17.25" customHeight="1">
      <c r="A155" s="247" t="s">
        <v>37</v>
      </c>
      <c r="B155" s="430">
        <f>SUM(C155:I155)</f>
        <v>1</v>
      </c>
      <c r="C155" s="318">
        <f>IF(AND(B154&gt;0,C10="ja"),C154/B154,0)</f>
        <v>1</v>
      </c>
      <c r="D155" s="318">
        <f t="shared" ref="D155:I155" si="34">IF(AND($B$154&gt;0,D11&gt;0,D10="ja"),D154/$B$154,0)</f>
        <v>0</v>
      </c>
      <c r="E155" s="318">
        <f t="shared" si="34"/>
        <v>0</v>
      </c>
      <c r="F155" s="318">
        <f t="shared" si="34"/>
        <v>0</v>
      </c>
      <c r="G155" s="318">
        <f t="shared" si="34"/>
        <v>0</v>
      </c>
      <c r="H155" s="318">
        <f t="shared" si="34"/>
        <v>0</v>
      </c>
      <c r="I155" s="319">
        <f t="shared" si="34"/>
        <v>0</v>
      </c>
    </row>
    <row r="156" spans="1:11" ht="19.5" hidden="1" customHeight="1">
      <c r="A156" s="244"/>
      <c r="B156" s="284"/>
      <c r="C156" s="318"/>
      <c r="D156" s="318"/>
      <c r="E156" s="62">
        <f>IF(E151&lt;0,E151,0)</f>
        <v>0</v>
      </c>
      <c r="F156" s="62">
        <f>IF(F151&lt;0,F151,0)</f>
        <v>0</v>
      </c>
      <c r="G156" s="62">
        <f>IF(G151&lt;0,G151,0)</f>
        <v>0</v>
      </c>
      <c r="H156" s="62">
        <f>IF(H151&lt;0,H151,0)</f>
        <v>0</v>
      </c>
      <c r="I156" s="110">
        <f>IF(I151&lt;0,I151,0)</f>
        <v>0</v>
      </c>
    </row>
    <row r="157" spans="1:11" hidden="1">
      <c r="A157" s="248"/>
      <c r="B157" s="320"/>
      <c r="C157" s="137"/>
      <c r="D157" s="137"/>
      <c r="E157" s="137">
        <f>IF(E156&lt;-E67,-E67,E156)</f>
        <v>0</v>
      </c>
      <c r="F157" s="137">
        <f>IF(F156&lt;-F67,-F67,F156)</f>
        <v>0</v>
      </c>
      <c r="G157" s="137">
        <f>IF(G156&lt;-G67,-G67,G156)</f>
        <v>0</v>
      </c>
      <c r="H157" s="137">
        <f>IF(H156&lt;-H67,-H67,H156)</f>
        <v>0</v>
      </c>
      <c r="I157" s="175">
        <f>IF(I156&lt;-I67,-I67,I156)</f>
        <v>0</v>
      </c>
    </row>
    <row r="158" spans="1:11" ht="19.5" hidden="1" customHeight="1">
      <c r="A158" s="248"/>
      <c r="B158" s="320"/>
      <c r="C158" s="137"/>
      <c r="D158" s="137"/>
      <c r="E158" s="137">
        <f>-E157*1</f>
        <v>0</v>
      </c>
      <c r="F158" s="137">
        <f>-F157*1</f>
        <v>0</v>
      </c>
      <c r="G158" s="137">
        <f>-G157*1</f>
        <v>0</v>
      </c>
      <c r="H158" s="137">
        <f>-H157*1</f>
        <v>0</v>
      </c>
      <c r="I158" s="175">
        <f>-I157*1</f>
        <v>0</v>
      </c>
    </row>
    <row r="159" spans="1:11" ht="18" customHeight="1">
      <c r="A159" s="249">
        <f>IF(C159&gt;0,"übertragbares Kindergeld",0)</f>
        <v>0</v>
      </c>
      <c r="B159" s="321"/>
      <c r="C159" s="322">
        <f>SUM(E158:I158)</f>
        <v>0</v>
      </c>
      <c r="D159" s="323"/>
      <c r="E159" s="323"/>
      <c r="F159" s="323"/>
      <c r="G159" s="323"/>
      <c r="H159" s="323"/>
      <c r="I159" s="324"/>
    </row>
    <row r="160" spans="1:11" ht="19.5" hidden="1" customHeight="1">
      <c r="A160" s="249"/>
      <c r="B160" s="314"/>
      <c r="C160" s="322">
        <f>IF(AND(C144=0,C159&gt;0),30+AB!C202+AB!C203+AB!C210,0)</f>
        <v>0</v>
      </c>
      <c r="D160" s="322">
        <f>IF(AND(D144=0,D159&gt;0),30+AB!D202+AB!D203+AB!D210,0)</f>
        <v>0</v>
      </c>
      <c r="E160" s="322">
        <f>IF(AND(E144=0,E159&gt;0),30+AB!E202+AB!E203+AB!E210,0)</f>
        <v>0</v>
      </c>
      <c r="F160" s="322">
        <f>IF(AND(F144=0,F159&gt;0),30+AB!F202+AB!F203+AB!F210,0)</f>
        <v>0</v>
      </c>
      <c r="G160" s="322">
        <f>IF(AND(G144=0,G159&gt;0),30+AB!G202+AB!G203+AB!G210,0)</f>
        <v>0</v>
      </c>
      <c r="H160" s="322">
        <f>IF(AND(H144=0,H159&gt;0),30+AB!H202+AB!H203+AB!H210,0)</f>
        <v>0</v>
      </c>
      <c r="I160" s="322">
        <f>IF(AND(I144=0,I159&gt;0),30+AB!I202+AB!I203+AB!I210,0)</f>
        <v>0</v>
      </c>
    </row>
    <row r="161" spans="1:12" ht="19.5" hidden="1" customHeight="1">
      <c r="A161" s="249"/>
      <c r="B161" s="314"/>
      <c r="C161" s="322">
        <f>C159-C160</f>
        <v>0</v>
      </c>
      <c r="D161" s="323"/>
      <c r="E161" s="323"/>
      <c r="F161" s="323"/>
      <c r="G161" s="323"/>
      <c r="H161" s="323"/>
      <c r="I161" s="324"/>
    </row>
    <row r="162" spans="1:12" ht="19.5" hidden="1" customHeight="1">
      <c r="A162" s="249"/>
      <c r="B162" s="314"/>
      <c r="C162" s="322">
        <f>IF(C161&lt;0,0,C161)</f>
        <v>0</v>
      </c>
      <c r="D162" s="323"/>
      <c r="E162" s="323"/>
      <c r="F162" s="323"/>
      <c r="G162" s="323"/>
      <c r="H162" s="323"/>
      <c r="I162" s="324"/>
    </row>
    <row r="163" spans="1:12" ht="17.25" customHeight="1">
      <c r="A163" s="247" t="s">
        <v>22</v>
      </c>
      <c r="B163" s="975">
        <f>C163+D163</f>
        <v>0</v>
      </c>
      <c r="C163" s="62">
        <f>C144+C162</f>
        <v>0</v>
      </c>
      <c r="D163" s="62">
        <f>D144</f>
        <v>0</v>
      </c>
      <c r="E163" s="325"/>
      <c r="F163" s="325"/>
      <c r="G163" s="325"/>
      <c r="H163" s="325"/>
      <c r="I163" s="326"/>
    </row>
    <row r="164" spans="1:12" hidden="1">
      <c r="A164" s="250"/>
      <c r="B164" s="327"/>
      <c r="C164" s="137">
        <f>C149-C163</f>
        <v>409</v>
      </c>
      <c r="D164" s="137">
        <f>D149-D163</f>
        <v>0</v>
      </c>
      <c r="E164" s="327"/>
      <c r="F164" s="327"/>
      <c r="G164" s="327"/>
      <c r="H164" s="327"/>
      <c r="I164" s="328"/>
    </row>
    <row r="165" spans="1:12" hidden="1">
      <c r="A165" s="250"/>
      <c r="B165" s="327"/>
      <c r="C165" s="137">
        <f>-1*C164</f>
        <v>-409</v>
      </c>
      <c r="D165" s="137">
        <f>-1*D164</f>
        <v>0</v>
      </c>
      <c r="E165" s="327"/>
      <c r="F165" s="327"/>
      <c r="G165" s="327"/>
      <c r="H165" s="327"/>
      <c r="I165" s="328"/>
    </row>
    <row r="166" spans="1:12" hidden="1">
      <c r="A166" s="250"/>
      <c r="B166" s="327"/>
      <c r="C166" s="137">
        <f>IF(C165&gt;0,C165,0)</f>
        <v>0</v>
      </c>
      <c r="D166" s="137">
        <f>IF(D165&gt;0,D165,0)</f>
        <v>0</v>
      </c>
      <c r="E166" s="137"/>
      <c r="F166" s="137"/>
      <c r="G166" s="137"/>
      <c r="H166" s="137"/>
      <c r="I166" s="175"/>
    </row>
    <row r="167" spans="1:12">
      <c r="A167" s="247">
        <f>IF(B167&gt;0,"./. nicht verteilbares Einkommen",0)</f>
        <v>0</v>
      </c>
      <c r="B167" s="284">
        <f>C167+D167</f>
        <v>0</v>
      </c>
      <c r="C167" s="62">
        <f>IF(AND($B$7&gt;2,D155&gt;0,C155=0,SUM(D153:$I$153)&lt;D163),C163,IF(OR(C10="nur Mehrbedarf",C10="nein"),C163-C168,0))</f>
        <v>0</v>
      </c>
      <c r="D167" s="62">
        <f>IF(AND($B$7&gt;2,C155&gt;0,D155=0,C153+SUM($E$153:$I$153)&lt;C163),D163,IF(OR(D10="nur Mehrbedarf",D10="nein"),D163-D168,0))</f>
        <v>0</v>
      </c>
      <c r="E167" s="62"/>
      <c r="F167" s="62"/>
      <c r="G167" s="62"/>
      <c r="H167" s="62"/>
      <c r="I167" s="110"/>
    </row>
    <row r="168" spans="1:12" ht="17.25" customHeight="1">
      <c r="A168" s="230" t="s">
        <v>38</v>
      </c>
      <c r="B168" s="430">
        <f>C168+D168</f>
        <v>0</v>
      </c>
      <c r="C168" s="62">
        <f>IF(AND($B$7&gt;2,D155&gt;0,C155=0,SUM(D153:$I$153)&lt;D163),0,IF(AND(C10="nur Mehrbedarf",C163&lt;C153+C172),0,IF(AND(C10="nur Mehrbedarf",C166&gt;C172),C166-C172,IF(AND(C10="nein",C166&gt;0),C166,IF(AND(C10="nur Mehrbedarf",C166=0),0,IF(AND(C10="nein",C166=0),0,C163))))))</f>
        <v>0</v>
      </c>
      <c r="D168" s="62">
        <f>IF(AND($B$7&gt;2,C155&gt;0,D155=0,C153+SUM($E$153:$I$153)&lt;C163),0,IF(AND(D10="nur Mehrbedarf",D163&lt;D153+D172),0,IF(AND(D10="nur Mehrbedarf",D166&gt;D172),D166-D172,IF(AND(D10="nein",D166&gt;0),D166,IF(AND(D10="nur Mehrbedarf",D166=0),0,IF(AND(D10="nein",D166=0),0,D163))))))</f>
        <v>0</v>
      </c>
      <c r="E168" s="306"/>
      <c r="F168" s="306"/>
      <c r="G168" s="306"/>
      <c r="H168" s="306"/>
      <c r="I168" s="434"/>
    </row>
    <row r="169" spans="1:12" ht="17.25" hidden="1" customHeight="1">
      <c r="A169" s="435"/>
      <c r="B169" s="298">
        <f t="shared" ref="B169:B173" si="35">SUM(C169:I169)</f>
        <v>0</v>
      </c>
      <c r="C169" s="62">
        <f>IF(AND($B$155=0,D153=0),C168,IF(AND($B$155=0,D168&gt;0,C153&gt;0),D168,IF(AND($B$7&gt;2,C155=0,D155=0,D168&gt;$E$153+$F$153+$G$153+$H$153+$I$153),D168-($E$169+$F$169+$G$169+$H$169+$I$169),IF(AND($B$7=2,C155&gt;0,D10="nur Mehrbedarf",D172+D153&gt;D163,C163&gt;C153),C153,$B$168*C155))))</f>
        <v>0</v>
      </c>
      <c r="D169" s="62">
        <f>IF(AND($B$155=0,C153=0),D168,IF(AND($B$155=0,C168&gt;0,D153&gt;0),C168,IF(AND($B$7&gt;2,D153&gt;0,D155=0,C155=0,C168&gt;$E$153+$F$153+$G$153+$H$153+$I$153),C168-($E$169+$F$169+$G$169+$H$169+$I$169),IF(AND($B$7=2,C10="nur Mehrbedarf",D155&gt;0,C172+C153&gt;C163,D163&gt;D153),D153,$B$168*D155))))</f>
        <v>0</v>
      </c>
      <c r="E169" s="295">
        <f>IF(AND($C$172&gt;0,$C$168=0,$B$168*E155&gt;E153,$D$168&lt;$D$153+SUM($E$153:$I$153)),E153,IF(AND($D$172&gt;0,$D$168=0,$B$168*E155&gt;E153,$C$168&lt;$C$153+SUM($E$153:$I$153)),E153,$B$168*E155))</f>
        <v>0</v>
      </c>
      <c r="F169" s="295">
        <f>IF(AND($C$172&gt;0,$C$168=0,$B$168*F155&gt;F153,$D$168&lt;$D$153+SUM($E$153:$I$153)),F153,IF(AND($D$172&gt;0,$D$168=0,$B$168*F155&gt;F153,$C$168&lt;$C$153+SUM($E$153:$I$153)),F153,$B$168*F155))</f>
        <v>0</v>
      </c>
      <c r="G169" s="295">
        <f>IF(AND($C$172&gt;0,$C$168=0,$B$168*G155&gt;G153,$D$168&lt;$D$153+SUM($E$153:$I$153)),G153,IF(AND($D$172&gt;0,$D$168=0,$B$168*G155&gt;G153,$C$168&lt;$C$153+SUM($E$153:$I$153)),G153,$B$168*G155))</f>
        <v>0</v>
      </c>
      <c r="H169" s="295">
        <f>IF(AND($C$172&gt;0,$C$168=0,$B$168*H155&gt;H153,$D$168&lt;$D$153+SUM($E$153:$I$153)),H153,IF(AND($D$172&gt;0,$D$168=0,$B$168*H155&gt;H153,$C$168&lt;$C$153+SUM($E$153:$I$153)),H153,$B$168*H155))</f>
        <v>0</v>
      </c>
      <c r="I169" s="295">
        <f>IF(AND($C$172&gt;0,$C$168=0,$B$168*I155&gt;I153,$D$168&lt;$D$153+SUM($E$153:$I$153)),I153,IF(AND($D$172&gt;0,$D$168=0,$B$168*I155&gt;I153,$C$168&lt;$C$153+SUM($E$153:$I$153)),I153,$B$168*I155))</f>
        <v>0</v>
      </c>
    </row>
    <row r="170" spans="1:12" ht="18.75" customHeight="1" thickBot="1">
      <c r="A170" s="245" t="s">
        <v>40</v>
      </c>
      <c r="B170" s="285">
        <f t="shared" si="35"/>
        <v>0</v>
      </c>
      <c r="C170" s="438">
        <f>IF(C169&lt;0,0,IF(AND(C172&gt;0,D168&gt;0,D168&lt;&gt;C169,C168&gt;0,C167&lt;C153+C172),C168+C169,IF(AND(D155&gt;0,C155=0,D168&gt;D169+E169+F169+G169+H169+I169),D168-D169-E169-F169-G169-H169-I169,IF(AND($B$7=2,$B$155=0,C168&gt;0,D168&gt;0),C168,IF(AND($B$7&gt;2,C155+D155=0,C168&gt;0,D168&gt;0),($B$168-E169-F169-G169-H169-I169)*C153/(C153+D153),C169)))))</f>
        <v>0</v>
      </c>
      <c r="D170" s="438">
        <f>IF(D169&lt;0,0,IF(AND(D172&gt;0,C168&gt;0,C168&lt;&gt;D169,D168&gt;0,D167&lt;D153+D172),D168+D169,IF(AND(C155&gt;0,D155=0,C168&gt;C169+E169+F169+G169+H169+I169),C168-C169-E169-F169-G169-H169-I169,IF(AND($B$7=2,$B$155=0,C168&gt;0,D168&gt;0),D168,IF(AND($B$7&gt;2,C155+D155=0,C168&gt;0,D168&gt;0),($B$168-E169-F169-G169-H169-I169)*D153/(C153+D153),D169)))))</f>
        <v>0</v>
      </c>
      <c r="E170" s="436">
        <f>IF(AND($C$169=0,$D$169=0,$B$169&lt;$B$168),$B$168*E155,E169)</f>
        <v>0</v>
      </c>
      <c r="F170" s="436">
        <f>IF(AND($C$169=0,$D$169=0,$B$169&lt;$B$168),$B$168*F155,F169)</f>
        <v>0</v>
      </c>
      <c r="G170" s="436">
        <f>IF(AND($C$169=0,$D$169=0,$B$169&lt;$B$168),$B$168*G155,G169)</f>
        <v>0</v>
      </c>
      <c r="H170" s="436">
        <f>IF(AND($C$169=0,$D$169=0,$B$169&lt;$B$168),$B$168*H155,H169)</f>
        <v>0</v>
      </c>
      <c r="I170" s="437">
        <f>IF(AND($C$169=0,$D$169=0,$B$169&lt;$B$168),$B$168*I155,I169)</f>
        <v>0</v>
      </c>
    </row>
    <row r="171" spans="1:12" ht="19.5" customHeight="1" thickTop="1">
      <c r="A171" s="251" t="s">
        <v>125</v>
      </c>
      <c r="B171" s="297">
        <f t="shared" si="35"/>
        <v>409</v>
      </c>
      <c r="C171" s="297">
        <f>C153-C167-C170</f>
        <v>409</v>
      </c>
      <c r="D171" s="297">
        <f>D153-D167-D170</f>
        <v>0</v>
      </c>
      <c r="E171" s="297">
        <f>E153-E170</f>
        <v>0</v>
      </c>
      <c r="F171" s="297">
        <f>F153-F170</f>
        <v>0</v>
      </c>
      <c r="G171" s="297">
        <f>G153-G170</f>
        <v>0</v>
      </c>
      <c r="H171" s="297">
        <f>H153-H170</f>
        <v>0</v>
      </c>
      <c r="I171" s="329">
        <f>I153-I170</f>
        <v>0</v>
      </c>
    </row>
    <row r="172" spans="1:12" ht="18" customHeight="1">
      <c r="A172" s="247">
        <f>IF(B172&gt;0,"Mehrbedarf nach § 27 (2) SGB II",0)</f>
        <v>0</v>
      </c>
      <c r="B172" s="440">
        <f t="shared" si="35"/>
        <v>0</v>
      </c>
      <c r="C172" s="295">
        <f>IF(C10="nur Mehrbedarf",AB!C45+AB!B46+AB!C93+AB!C94,0)</f>
        <v>0</v>
      </c>
      <c r="D172" s="295">
        <f>IF(D10="nur Mehrbedarf",AB!D45+AB!D93+AB!D94,0)</f>
        <v>0</v>
      </c>
      <c r="E172" s="62"/>
      <c r="F172" s="62"/>
      <c r="G172" s="62"/>
      <c r="H172" s="62"/>
      <c r="I172" s="110"/>
    </row>
    <row r="173" spans="1:12" ht="17.25" customHeight="1">
      <c r="A173" s="425">
        <f>IF(B173&gt;0,"./. Überschuss",0)</f>
        <v>0</v>
      </c>
      <c r="B173" s="441">
        <f t="shared" si="35"/>
        <v>0</v>
      </c>
      <c r="C173" s="132">
        <f>IF(AND(C10="nur Mehrbedarf",$B$171&lt;0,D171&lt;0),$B$171*-1,IF(AND(C10="nur Mehrbedarf",$B$171&lt;0,$E$171&lt;0),$B$171*-1,IF(AND(C10="nur Mehrbedarf",D171&gt;=0,C171&lt;0),C171*-1,0)))</f>
        <v>0</v>
      </c>
      <c r="D173" s="132">
        <f>IF(AND(D10="nur Mehrbedarf",$B$171&lt;0,C171&lt;0),$B$171*-1,IF(AND(D10="nur Mehrbedarf",$B$171&lt;0,$E$171&lt;0),$B$171*-1,IF(AND(D10="nur Mehrbedarf",C171&gt;=0,D171&lt;0),D171*-1,0)))</f>
        <v>0</v>
      </c>
      <c r="E173" s="132"/>
      <c r="F173" s="132"/>
      <c r="G173" s="132"/>
      <c r="H173" s="132"/>
      <c r="I173" s="133"/>
    </row>
    <row r="174" spans="1:12" ht="18" customHeight="1" thickBot="1">
      <c r="A174" s="252"/>
      <c r="B174" s="718"/>
      <c r="C174" s="286"/>
      <c r="D174" s="286"/>
      <c r="E174" s="286"/>
      <c r="F174" s="286"/>
      <c r="G174" s="286"/>
      <c r="H174" s="286"/>
      <c r="I174" s="287"/>
    </row>
    <row r="175" spans="1:12" s="212" customFormat="1" ht="16.5" hidden="1" customHeight="1" thickTop="1">
      <c r="A175" s="253"/>
      <c r="B175" s="213"/>
      <c r="C175" s="214">
        <f>IF(C10="nur Mehrbedarf",C172-C173,0)</f>
        <v>0</v>
      </c>
      <c r="D175" s="214">
        <f>IF(D10="nur Mehrbedarf",D172-D173,0)</f>
        <v>0</v>
      </c>
      <c r="E175" s="214"/>
      <c r="F175" s="214"/>
      <c r="G175" s="214"/>
      <c r="H175" s="214"/>
      <c r="I175" s="254"/>
      <c r="K175" s="424"/>
      <c r="L175" s="424"/>
    </row>
    <row r="176" spans="1:12" ht="17.25" hidden="1" customHeight="1">
      <c r="A176" s="431"/>
      <c r="B176" s="429">
        <f>SUM(C176:I176)</f>
        <v>409</v>
      </c>
      <c r="C176" s="429">
        <f>IF(C10="nur Mehrbedarf",C175,C171-C174)</f>
        <v>409</v>
      </c>
      <c r="D176" s="429">
        <f>IF(D10="nur Mehrbedarf",D175,D171-D174)</f>
        <v>0</v>
      </c>
      <c r="E176" s="429">
        <f>E171-E174</f>
        <v>0</v>
      </c>
      <c r="F176" s="429">
        <f>F171-F174</f>
        <v>0</v>
      </c>
      <c r="G176" s="429">
        <f>G171-G174</f>
        <v>0</v>
      </c>
      <c r="H176" s="429">
        <f>H171-H174</f>
        <v>0</v>
      </c>
      <c r="I176" s="432">
        <f>I171-I174</f>
        <v>0</v>
      </c>
    </row>
    <row r="177" spans="1:9" ht="24" customHeight="1" thickTop="1" thickBot="1">
      <c r="A177" s="332" t="s">
        <v>27</v>
      </c>
      <c r="B177" s="427">
        <f>SUM(C177:I177)</f>
        <v>409</v>
      </c>
      <c r="C177" s="427">
        <f t="shared" ref="C177:I177" si="36">IF(C10="nein",0,IF(C176&lt;0,0,C176))</f>
        <v>409</v>
      </c>
      <c r="D177" s="427">
        <f t="shared" si="36"/>
        <v>0</v>
      </c>
      <c r="E177" s="427">
        <f t="shared" si="36"/>
        <v>0</v>
      </c>
      <c r="F177" s="427">
        <f t="shared" si="36"/>
        <v>0</v>
      </c>
      <c r="G177" s="427">
        <f t="shared" si="36"/>
        <v>0</v>
      </c>
      <c r="H177" s="427">
        <f t="shared" si="36"/>
        <v>0</v>
      </c>
      <c r="I177" s="428">
        <f t="shared" si="36"/>
        <v>0</v>
      </c>
    </row>
    <row r="178" spans="1:9" ht="15.75" customHeight="1">
      <c r="A178" s="647"/>
    </row>
    <row r="179" spans="1:9" ht="14.25" hidden="1" customHeight="1">
      <c r="C179" s="661">
        <f>C177-C47</f>
        <v>409</v>
      </c>
      <c r="D179" s="661">
        <f t="shared" ref="D179:I179" si="37">D177-D47</f>
        <v>0</v>
      </c>
      <c r="E179" s="661">
        <f t="shared" si="37"/>
        <v>0</v>
      </c>
      <c r="F179" s="661">
        <f t="shared" si="37"/>
        <v>0</v>
      </c>
      <c r="G179" s="661">
        <f t="shared" si="37"/>
        <v>0</v>
      </c>
      <c r="H179" s="661">
        <f t="shared" si="37"/>
        <v>0</v>
      </c>
      <c r="I179" s="661">
        <f t="shared" si="37"/>
        <v>0</v>
      </c>
    </row>
    <row r="180" spans="1:9" ht="20.25">
      <c r="A180" s="335"/>
      <c r="B180" s="330"/>
      <c r="C180" s="331"/>
      <c r="D180" s="331"/>
      <c r="E180" s="331"/>
      <c r="F180" s="331"/>
      <c r="G180" s="331"/>
      <c r="H180" s="331"/>
      <c r="I180" s="331"/>
    </row>
    <row r="181" spans="1:9" ht="21" hidden="1" customHeight="1" thickBot="1">
      <c r="A181" s="336"/>
      <c r="B181" s="337"/>
      <c r="C181" s="337"/>
      <c r="D181" s="337"/>
      <c r="E181" s="337"/>
      <c r="F181" s="337"/>
      <c r="G181" s="337"/>
      <c r="H181" s="337"/>
      <c r="I181" s="337"/>
    </row>
    <row r="182" spans="1:9" ht="21" hidden="1" customHeight="1">
      <c r="A182" s="444" t="s">
        <v>130</v>
      </c>
      <c r="B182" s="236"/>
      <c r="C182" s="445"/>
      <c r="D182" s="445"/>
      <c r="E182" s="445"/>
      <c r="F182" s="445"/>
      <c r="G182" s="445"/>
      <c r="H182" s="445"/>
      <c r="I182" s="446"/>
    </row>
    <row r="183" spans="1:9" ht="18.75" hidden="1" customHeight="1">
      <c r="A183" s="224"/>
      <c r="B183" s="341" t="s">
        <v>1</v>
      </c>
      <c r="C183" s="341" t="str">
        <f>AB!C4</f>
        <v>Antragsteller</v>
      </c>
      <c r="D183" s="341" t="str">
        <f>AB!D4</f>
        <v>Partner(in)</v>
      </c>
      <c r="E183" s="341" t="str">
        <f>AB!E4</f>
        <v>Kind 1</v>
      </c>
      <c r="F183" s="341" t="str">
        <f>AB!F4</f>
        <v>Kind 2</v>
      </c>
      <c r="G183" s="341" t="str">
        <f>AB!G4</f>
        <v>Kind 3</v>
      </c>
      <c r="H183" s="341" t="str">
        <f>AB!H4</f>
        <v>Kind 4</v>
      </c>
      <c r="I183" s="342" t="str">
        <f>AB!I4</f>
        <v>Kind 5</v>
      </c>
    </row>
    <row r="184" spans="1:9" ht="18.75" hidden="1" customHeight="1">
      <c r="A184" s="224"/>
      <c r="B184" s="447"/>
      <c r="C184" s="448">
        <f t="shared" ref="C184:I184" si="38">IF(C10="ja",C11+C13+C14+C15+C16+C17+C18+C19,0)</f>
        <v>409</v>
      </c>
      <c r="D184" s="448">
        <f t="shared" si="38"/>
        <v>0</v>
      </c>
      <c r="E184" s="448">
        <f t="shared" si="38"/>
        <v>0</v>
      </c>
      <c r="F184" s="448">
        <f t="shared" si="38"/>
        <v>0</v>
      </c>
      <c r="G184" s="448">
        <f t="shared" si="38"/>
        <v>0</v>
      </c>
      <c r="H184" s="448">
        <f t="shared" si="38"/>
        <v>0</v>
      </c>
      <c r="I184" s="449">
        <f t="shared" si="38"/>
        <v>0</v>
      </c>
    </row>
    <row r="185" spans="1:9" ht="18.75" hidden="1" customHeight="1">
      <c r="A185" s="224" t="s">
        <v>131</v>
      </c>
      <c r="B185" s="284">
        <f>SUM(C185:I185)</f>
        <v>409</v>
      </c>
      <c r="C185" s="295">
        <f t="shared" ref="C185:I185" si="39">IF(C10="ja",C11+C13+C14+C15+C16+C17+C18+C19+C49,IF(C10="nur Mehrbedarf",C177,0))</f>
        <v>409</v>
      </c>
      <c r="D185" s="295">
        <f t="shared" si="39"/>
        <v>0</v>
      </c>
      <c r="E185" s="295">
        <f t="shared" si="39"/>
        <v>0</v>
      </c>
      <c r="F185" s="295">
        <f t="shared" si="39"/>
        <v>0</v>
      </c>
      <c r="G185" s="295">
        <f t="shared" si="39"/>
        <v>0</v>
      </c>
      <c r="H185" s="295">
        <f t="shared" si="39"/>
        <v>0</v>
      </c>
      <c r="I185" s="296">
        <f t="shared" si="39"/>
        <v>0</v>
      </c>
    </row>
    <row r="186" spans="1:9" ht="18.75" hidden="1" customHeight="1">
      <c r="A186" s="450" t="s">
        <v>132</v>
      </c>
      <c r="B186" s="284">
        <f>SUM(C186:I186)</f>
        <v>0</v>
      </c>
      <c r="C186" s="295">
        <f t="shared" ref="C186:I186" si="40">C174</f>
        <v>0</v>
      </c>
      <c r="D186" s="295">
        <f t="shared" si="40"/>
        <v>0</v>
      </c>
      <c r="E186" s="295">
        <f t="shared" si="40"/>
        <v>0</v>
      </c>
      <c r="F186" s="295">
        <f t="shared" si="40"/>
        <v>0</v>
      </c>
      <c r="G186" s="295">
        <f t="shared" si="40"/>
        <v>0</v>
      </c>
      <c r="H186" s="295">
        <f t="shared" si="40"/>
        <v>0</v>
      </c>
      <c r="I186" s="296">
        <f t="shared" si="40"/>
        <v>0</v>
      </c>
    </row>
    <row r="187" spans="1:9" ht="19.5" hidden="1" customHeight="1" thickBot="1">
      <c r="A187" s="451" t="s">
        <v>133</v>
      </c>
      <c r="B187" s="285">
        <f>SUM(C187:I187)</f>
        <v>0</v>
      </c>
      <c r="C187" s="312">
        <f>IF(C185=0,0,C170)</f>
        <v>0</v>
      </c>
      <c r="D187" s="312">
        <f>IF(D185=0,0,D170)</f>
        <v>0</v>
      </c>
      <c r="E187" s="312">
        <f>IF(E185=0,0,E150+E170)</f>
        <v>0</v>
      </c>
      <c r="F187" s="312">
        <f>IF(F185=0,0,F150+F170)</f>
        <v>0</v>
      </c>
      <c r="G187" s="312">
        <f>IF(G185=0,0,G150+G170)</f>
        <v>0</v>
      </c>
      <c r="H187" s="312">
        <f>IF(H185=0,0,H150+H170)</f>
        <v>0</v>
      </c>
      <c r="I187" s="313">
        <f>IF(I185=0,0,I150+I170)</f>
        <v>0</v>
      </c>
    </row>
    <row r="188" spans="1:9" ht="21" hidden="1" customHeight="1">
      <c r="A188" s="243"/>
      <c r="B188" s="137"/>
      <c r="C188" s="452">
        <f t="shared" ref="C188:I188" si="41">IF(C184=0,0,C170)</f>
        <v>0</v>
      </c>
      <c r="D188" s="452">
        <f t="shared" si="41"/>
        <v>0</v>
      </c>
      <c r="E188" s="452">
        <f t="shared" si="41"/>
        <v>0</v>
      </c>
      <c r="F188" s="452">
        <f t="shared" si="41"/>
        <v>0</v>
      </c>
      <c r="G188" s="452">
        <f t="shared" si="41"/>
        <v>0</v>
      </c>
      <c r="H188" s="452">
        <f t="shared" si="41"/>
        <v>0</v>
      </c>
      <c r="I188" s="453">
        <f t="shared" si="41"/>
        <v>0</v>
      </c>
    </row>
    <row r="189" spans="1:9" ht="21" hidden="1" customHeight="1">
      <c r="A189" s="243"/>
      <c r="B189" s="137"/>
      <c r="C189" s="137">
        <f>C185-C186-C187</f>
        <v>409</v>
      </c>
      <c r="D189" s="137">
        <f t="shared" ref="D189:I189" si="42">D185-D186-D187</f>
        <v>0</v>
      </c>
      <c r="E189" s="137">
        <f t="shared" si="42"/>
        <v>0</v>
      </c>
      <c r="F189" s="137">
        <f t="shared" si="42"/>
        <v>0</v>
      </c>
      <c r="G189" s="137">
        <f t="shared" si="42"/>
        <v>0</v>
      </c>
      <c r="H189" s="137">
        <f t="shared" si="42"/>
        <v>0</v>
      </c>
      <c r="I189" s="175">
        <f t="shared" si="42"/>
        <v>0</v>
      </c>
    </row>
    <row r="190" spans="1:9" ht="21" hidden="1" customHeight="1">
      <c r="A190" s="243"/>
      <c r="B190" s="137"/>
      <c r="C190" s="454">
        <f>C184-C188</f>
        <v>409</v>
      </c>
      <c r="D190" s="454">
        <f t="shared" ref="D190:I190" si="43">D184-D187</f>
        <v>0</v>
      </c>
      <c r="E190" s="454">
        <f t="shared" si="43"/>
        <v>0</v>
      </c>
      <c r="F190" s="454">
        <f t="shared" si="43"/>
        <v>0</v>
      </c>
      <c r="G190" s="454">
        <f t="shared" si="43"/>
        <v>0</v>
      </c>
      <c r="H190" s="454">
        <f t="shared" si="43"/>
        <v>0</v>
      </c>
      <c r="I190" s="455">
        <f t="shared" si="43"/>
        <v>0</v>
      </c>
    </row>
    <row r="191" spans="1:9" ht="21" hidden="1" customHeight="1" thickTop="1" thickBot="1">
      <c r="A191" s="456" t="s">
        <v>134</v>
      </c>
      <c r="B191" s="457">
        <f>SUM(C191:I191)</f>
        <v>409</v>
      </c>
      <c r="C191" s="457">
        <f t="shared" ref="C191:I192" si="44">IF(C189&lt;0,0,C189)</f>
        <v>409</v>
      </c>
      <c r="D191" s="457">
        <f t="shared" si="44"/>
        <v>0</v>
      </c>
      <c r="E191" s="457">
        <f t="shared" si="44"/>
        <v>0</v>
      </c>
      <c r="F191" s="457">
        <f t="shared" si="44"/>
        <v>0</v>
      </c>
      <c r="G191" s="457">
        <f t="shared" si="44"/>
        <v>0</v>
      </c>
      <c r="H191" s="457">
        <f t="shared" si="44"/>
        <v>0</v>
      </c>
      <c r="I191" s="458">
        <f t="shared" si="44"/>
        <v>0</v>
      </c>
    </row>
    <row r="192" spans="1:9" ht="21" hidden="1" customHeight="1">
      <c r="A192" s="459"/>
      <c r="B192" s="337"/>
      <c r="C192" s="460">
        <f t="shared" si="44"/>
        <v>409</v>
      </c>
      <c r="D192" s="460">
        <f t="shared" si="44"/>
        <v>0</v>
      </c>
      <c r="E192" s="460">
        <f t="shared" si="44"/>
        <v>0</v>
      </c>
      <c r="F192" s="460">
        <f t="shared" si="44"/>
        <v>0</v>
      </c>
      <c r="G192" s="460">
        <f t="shared" si="44"/>
        <v>0</v>
      </c>
      <c r="H192" s="460">
        <f t="shared" si="44"/>
        <v>0</v>
      </c>
      <c r="I192" s="461">
        <f t="shared" si="44"/>
        <v>0</v>
      </c>
    </row>
    <row r="193" spans="1:9" ht="21" hidden="1" customHeight="1" thickBot="1">
      <c r="A193" s="462" t="s">
        <v>154</v>
      </c>
      <c r="B193" s="463"/>
      <c r="C193" s="464">
        <f t="shared" ref="C193:I194" si="45">IF(C189&lt;0,C189,0)*-1</f>
        <v>0</v>
      </c>
      <c r="D193" s="464">
        <f t="shared" si="45"/>
        <v>0</v>
      </c>
      <c r="E193" s="464">
        <f t="shared" si="45"/>
        <v>0</v>
      </c>
      <c r="F193" s="464">
        <f t="shared" si="45"/>
        <v>0</v>
      </c>
      <c r="G193" s="464">
        <f t="shared" si="45"/>
        <v>0</v>
      </c>
      <c r="H193" s="464">
        <f t="shared" si="45"/>
        <v>0</v>
      </c>
      <c r="I193" s="465">
        <f t="shared" si="45"/>
        <v>0</v>
      </c>
    </row>
    <row r="194" spans="1:9" ht="21" hidden="1" customHeight="1">
      <c r="A194" s="243"/>
      <c r="B194" s="320"/>
      <c r="C194" s="466">
        <f t="shared" si="45"/>
        <v>0</v>
      </c>
      <c r="D194" s="466">
        <f t="shared" si="45"/>
        <v>0</v>
      </c>
      <c r="E194" s="466">
        <f t="shared" si="45"/>
        <v>0</v>
      </c>
      <c r="F194" s="466">
        <f t="shared" si="45"/>
        <v>0</v>
      </c>
      <c r="G194" s="466">
        <f t="shared" si="45"/>
        <v>0</v>
      </c>
      <c r="H194" s="466">
        <f t="shared" si="45"/>
        <v>0</v>
      </c>
      <c r="I194" s="467">
        <f t="shared" si="45"/>
        <v>0</v>
      </c>
    </row>
    <row r="195" spans="1:9" ht="21" hidden="1" customHeight="1">
      <c r="A195" s="468" t="s">
        <v>135</v>
      </c>
      <c r="B195" s="297">
        <f>SUM(C195:I195)</f>
        <v>0</v>
      </c>
      <c r="C195" s="469">
        <f t="shared" ref="C195:I195" si="46">IF(C10="ja",C47,0)</f>
        <v>0</v>
      </c>
      <c r="D195" s="469">
        <f t="shared" si="46"/>
        <v>0</v>
      </c>
      <c r="E195" s="469">
        <f t="shared" si="46"/>
        <v>0</v>
      </c>
      <c r="F195" s="469">
        <f t="shared" si="46"/>
        <v>0</v>
      </c>
      <c r="G195" s="469">
        <f t="shared" si="46"/>
        <v>0</v>
      </c>
      <c r="H195" s="469">
        <f t="shared" si="46"/>
        <v>0</v>
      </c>
      <c r="I195" s="470">
        <f t="shared" si="46"/>
        <v>0</v>
      </c>
    </row>
    <row r="196" spans="1:9" ht="21" hidden="1" customHeight="1" thickBot="1">
      <c r="A196" s="451" t="s">
        <v>136</v>
      </c>
      <c r="B196" s="471">
        <f>SUM(C196:I196)</f>
        <v>0</v>
      </c>
      <c r="C196" s="312">
        <f t="shared" ref="C196:I196" si="47">IF(C195&lt;C193,C195,C193)</f>
        <v>0</v>
      </c>
      <c r="D196" s="312">
        <f t="shared" si="47"/>
        <v>0</v>
      </c>
      <c r="E196" s="312">
        <f t="shared" si="47"/>
        <v>0</v>
      </c>
      <c r="F196" s="312">
        <f t="shared" si="47"/>
        <v>0</v>
      </c>
      <c r="G196" s="312">
        <f t="shared" si="47"/>
        <v>0</v>
      </c>
      <c r="H196" s="312">
        <f t="shared" si="47"/>
        <v>0</v>
      </c>
      <c r="I196" s="313">
        <f t="shared" si="47"/>
        <v>0</v>
      </c>
    </row>
    <row r="197" spans="1:9" ht="21" hidden="1" customHeight="1">
      <c r="A197" s="262"/>
      <c r="B197" s="320"/>
      <c r="C197" s="472">
        <f>IF(C195&lt;C194,C195,C194)</f>
        <v>0</v>
      </c>
      <c r="D197" s="472">
        <f t="shared" ref="D197:I197" si="48">IF(D195&lt;D194,D195,D194)</f>
        <v>0</v>
      </c>
      <c r="E197" s="472">
        <f t="shared" si="48"/>
        <v>0</v>
      </c>
      <c r="F197" s="472">
        <f t="shared" si="48"/>
        <v>0</v>
      </c>
      <c r="G197" s="472">
        <f t="shared" si="48"/>
        <v>0</v>
      </c>
      <c r="H197" s="472">
        <f t="shared" si="48"/>
        <v>0</v>
      </c>
      <c r="I197" s="473">
        <f t="shared" si="48"/>
        <v>0</v>
      </c>
    </row>
    <row r="198" spans="1:9" ht="21" hidden="1" customHeight="1">
      <c r="A198" s="262"/>
      <c r="B198" s="320"/>
      <c r="C198" s="474">
        <f>C195-C197</f>
        <v>0</v>
      </c>
      <c r="D198" s="474">
        <f t="shared" ref="D198:I198" si="49">D195-D197</f>
        <v>0</v>
      </c>
      <c r="E198" s="474">
        <f t="shared" si="49"/>
        <v>0</v>
      </c>
      <c r="F198" s="474">
        <f t="shared" si="49"/>
        <v>0</v>
      </c>
      <c r="G198" s="474">
        <f t="shared" si="49"/>
        <v>0</v>
      </c>
      <c r="H198" s="474">
        <f t="shared" si="49"/>
        <v>0</v>
      </c>
      <c r="I198" s="475">
        <f t="shared" si="49"/>
        <v>0</v>
      </c>
    </row>
    <row r="199" spans="1:9" ht="21" hidden="1" customHeight="1" thickTop="1" thickBot="1">
      <c r="A199" s="476" t="s">
        <v>137</v>
      </c>
      <c r="B199" s="477">
        <f>SUM(C199:I199)</f>
        <v>0</v>
      </c>
      <c r="C199" s="478">
        <f>IF(C196&lt;0,C195,C195-C196)</f>
        <v>0</v>
      </c>
      <c r="D199" s="478">
        <f t="shared" ref="D199:I199" si="50">IF(D196&lt;0,D195,D195-D196)</f>
        <v>0</v>
      </c>
      <c r="E199" s="478">
        <f t="shared" si="50"/>
        <v>0</v>
      </c>
      <c r="F199" s="478">
        <f t="shared" si="50"/>
        <v>0</v>
      </c>
      <c r="G199" s="478">
        <f t="shared" si="50"/>
        <v>0</v>
      </c>
      <c r="H199" s="478">
        <f t="shared" si="50"/>
        <v>0</v>
      </c>
      <c r="I199" s="479">
        <f t="shared" si="50"/>
        <v>0</v>
      </c>
    </row>
    <row r="200" spans="1:9" ht="18" hidden="1" customHeight="1">
      <c r="A200" s="336"/>
      <c r="B200" s="337"/>
      <c r="C200" s="337"/>
      <c r="D200" s="337"/>
      <c r="E200" s="337"/>
      <c r="F200" s="337"/>
      <c r="G200" s="337"/>
      <c r="H200" s="337"/>
      <c r="I200" s="337"/>
    </row>
    <row r="202" spans="1:9" s="839" customFormat="1" ht="18.75" customHeight="1">
      <c r="A202" s="838" t="s">
        <v>252</v>
      </c>
      <c r="B202" s="860"/>
      <c r="F202" s="838" t="s">
        <v>248</v>
      </c>
      <c r="G202" s="840"/>
      <c r="H202" s="840"/>
      <c r="I202" s="840"/>
    </row>
    <row r="203" spans="1:9" s="839" customFormat="1" ht="15.75">
      <c r="A203" s="608" t="s">
        <v>114</v>
      </c>
      <c r="B203" s="609"/>
      <c r="C203" s="327"/>
      <c r="D203" s="327"/>
    </row>
    <row r="204" spans="1:9" s="839" customFormat="1" ht="15.75">
      <c r="A204" s="327" t="s">
        <v>45</v>
      </c>
      <c r="B204" s="612">
        <f>IF(AND(C$63=0,C$54&lt;=100),0,IF(AND(C$63=0,C$54&lt;=1000),C$54-100,IF(AND(C$63=0,C$54&gt;1000),1000-100,IF(AND(C$63&gt;0,C$54+C$63&lt;=100),0,IF(AND(C$63&gt;0,C$63+C$54&lt;=1000),C$63+C$54-100,IF(AND(C$63&gt;0,C$63+C$54&gt;1000),1000-100))))))</f>
        <v>0</v>
      </c>
      <c r="C204" s="327" t="s">
        <v>28</v>
      </c>
      <c r="D204" s="137">
        <f>B204*20/100</f>
        <v>0</v>
      </c>
      <c r="G204" s="609" t="s">
        <v>5</v>
      </c>
      <c r="H204" s="327"/>
      <c r="I204" s="327"/>
    </row>
    <row r="205" spans="1:9" s="839" customFormat="1" ht="15.75">
      <c r="A205" s="327" t="s">
        <v>159</v>
      </c>
      <c r="B205" s="137">
        <f>IF(C$54+C$63&lt;1000.01,0,IF(AND(C$54+C$63&gt;1000,C$54+C$63&lt;=1200),C$54+C$63-1000,IF(AND(C$54+C$63&gt;1200,C8="ja",C$54+C$63&lt;=1500),C$54+C$63-1000,IF(AND(C$54+C$63&gt;1200,C8="nein",C$54+C$63&lt;=1500),1200-1000,IF(AND(C$54+C$63&gt;=1500,C8="ja"),1500-1000,IF(AND(C$54+C$63&gt;1500,C8="nein"),1200-1000))))))</f>
        <v>0</v>
      </c>
      <c r="C205" s="327" t="s">
        <v>29</v>
      </c>
      <c r="D205" s="137">
        <f>B205*10/100</f>
        <v>0</v>
      </c>
      <c r="G205" s="327" t="s">
        <v>249</v>
      </c>
      <c r="H205" s="137">
        <f>IF(C$59&lt;C$58,C$58,0)</f>
        <v>0</v>
      </c>
      <c r="I205" s="137"/>
    </row>
    <row r="206" spans="1:9" s="839" customFormat="1" thickBot="1">
      <c r="A206" s="610" t="s">
        <v>30</v>
      </c>
      <c r="B206" s="327"/>
      <c r="C206" s="327"/>
      <c r="D206" s="611">
        <f>SUM(D204:D205)</f>
        <v>0</v>
      </c>
      <c r="G206" s="327" t="s">
        <v>250</v>
      </c>
      <c r="H206" s="841">
        <f>IF(C$59&lt;C$58,E252,0)</f>
        <v>0</v>
      </c>
      <c r="I206" s="137"/>
    </row>
    <row r="207" spans="1:9" s="839" customFormat="1" thickTop="1">
      <c r="A207" s="327"/>
      <c r="B207" s="327"/>
      <c r="C207" s="327"/>
      <c r="D207" s="327"/>
      <c r="G207" s="327"/>
      <c r="H207" s="137">
        <f>H205-H206</f>
        <v>0</v>
      </c>
      <c r="I207" s="137"/>
    </row>
    <row r="208" spans="1:9" s="839" customFormat="1" thickBot="1">
      <c r="A208" s="608" t="s">
        <v>113</v>
      </c>
      <c r="B208" s="609"/>
      <c r="C208" s="327"/>
      <c r="D208" s="327"/>
      <c r="G208" s="327" t="s">
        <v>251</v>
      </c>
      <c r="H208" s="842">
        <f>H207/6</f>
        <v>0</v>
      </c>
      <c r="I208" s="137"/>
    </row>
    <row r="209" spans="1:9" s="839" customFormat="1" ht="15.75">
      <c r="A209" s="327" t="s">
        <v>45</v>
      </c>
      <c r="B209" s="137">
        <f>IF(AND(D$63=0,D$54&lt;=100),0,IF(AND(D$63=0,D$54&lt;=1000),D$54-100,IF(AND(D$63=0,D$54&gt;1000),1000-100,IF(AND(D$63&gt;0,D$54+D$63&lt;=100),0,IF(AND(D$63&gt;0,D$63+D$54&lt;=1000),D$63+D$54-100,IF(AND(D$63&gt;0,D$63+D$54&gt;1000),1000-100))))))</f>
        <v>0</v>
      </c>
      <c r="C209" s="327" t="s">
        <v>28</v>
      </c>
      <c r="D209" s="137">
        <f>B209*20/100</f>
        <v>0</v>
      </c>
      <c r="I209" s="327"/>
    </row>
    <row r="210" spans="1:9" s="839" customFormat="1" ht="15.75">
      <c r="A210" s="327" t="s">
        <v>159</v>
      </c>
      <c r="B210" s="137">
        <f>IF(D$54+D$63&lt;1000.01,0,IF(AND(D$54+D$63&gt;1000,D$54+D$63&lt;=1200),D$54+D$63-1000,IF(AND(D$54+D$63&gt;1200,D$8="ja",D$54+D$63&lt;=1500),D$54+D$63-1000,IF(AND(D$54+D$63&gt;1200,D$8="nein",D$54+D$63&lt;=1500),1200-1000,IF(AND(D$54+D$63&gt;=1500,D$8="ja"),1500-1000,IF(AND(D$54+D$63&gt;1500,D$8="nein"),1200-1000))))))</f>
        <v>0</v>
      </c>
      <c r="C210" s="327" t="s">
        <v>29</v>
      </c>
      <c r="D210" s="137">
        <f>B210*10/100</f>
        <v>0</v>
      </c>
      <c r="G210" s="609" t="s">
        <v>6</v>
      </c>
      <c r="H210" s="327"/>
      <c r="I210" s="137"/>
    </row>
    <row r="211" spans="1:9" s="839" customFormat="1" ht="15.75">
      <c r="A211" s="610" t="s">
        <v>30</v>
      </c>
      <c r="B211" s="327"/>
      <c r="C211" s="327"/>
      <c r="D211" s="611">
        <f>SUM(D209:D210)</f>
        <v>0</v>
      </c>
      <c r="G211" s="327" t="s">
        <v>249</v>
      </c>
      <c r="H211" s="137">
        <f>IF(D$59&lt;D$58,D$58,0)</f>
        <v>0</v>
      </c>
      <c r="I211" s="137"/>
    </row>
    <row r="212" spans="1:9" s="839" customFormat="1" thickBot="1">
      <c r="A212" s="327"/>
      <c r="B212" s="327"/>
      <c r="C212" s="327"/>
      <c r="D212" s="327"/>
      <c r="G212" s="327" t="s">
        <v>250</v>
      </c>
      <c r="H212" s="841">
        <f>IF(D$59&lt;D$58,E257,0)</f>
        <v>0</v>
      </c>
      <c r="I212" s="137"/>
    </row>
    <row r="213" spans="1:9" s="839" customFormat="1" thickTop="1">
      <c r="A213" s="608" t="s">
        <v>112</v>
      </c>
      <c r="B213" s="609"/>
      <c r="C213" s="327"/>
      <c r="D213" s="327"/>
      <c r="G213" s="327"/>
      <c r="H213" s="137">
        <f>H211-H212</f>
        <v>0</v>
      </c>
      <c r="I213" s="137"/>
    </row>
    <row r="214" spans="1:9" s="839" customFormat="1" thickBot="1">
      <c r="A214" s="327" t="s">
        <v>45</v>
      </c>
      <c r="B214" s="137">
        <f>IF(AND(E$63=0,E$54&lt;=100),0,IF(AND(E$63=0,E$54&lt;=1000),E$54-100,IF(AND(E$63=0,E$54&gt;1000),1000-100,IF(AND(E$63&gt;0,E$54+E$63&lt;=100),0,IF(AND(E$63&gt;0,E$63+E$54&lt;=1000),E$63+E$54-100,IF(AND(E$63&gt;0,E$63+E$54&gt;1000),1000-100))))))</f>
        <v>0</v>
      </c>
      <c r="C214" s="327" t="s">
        <v>28</v>
      </c>
      <c r="D214" s="137">
        <f>B214*20/100</f>
        <v>0</v>
      </c>
      <c r="G214" s="327" t="s">
        <v>251</v>
      </c>
      <c r="H214" s="842">
        <f>H213/6</f>
        <v>0</v>
      </c>
      <c r="I214" s="137"/>
    </row>
    <row r="215" spans="1:9" s="839" customFormat="1" ht="15.75">
      <c r="A215" s="327" t="s">
        <v>159</v>
      </c>
      <c r="B215" s="137">
        <f>IF(E$54+E$63&lt;1000.01,0,IF(AND(E$54+E$63&gt;1000,E$54+E$63&lt;=1200),E$54+E$63-1000,IF(E$54+E$63&gt;1200,1200-1000,)))</f>
        <v>0</v>
      </c>
      <c r="C215" s="327" t="s">
        <v>29</v>
      </c>
      <c r="D215" s="137">
        <f>B215*10/100</f>
        <v>0</v>
      </c>
    </row>
    <row r="216" spans="1:9" s="839" customFormat="1" ht="15.75">
      <c r="A216" s="610" t="s">
        <v>30</v>
      </c>
      <c r="B216" s="327"/>
      <c r="C216" s="327"/>
      <c r="D216" s="611">
        <f>SUM(D214:D215)</f>
        <v>0</v>
      </c>
      <c r="G216" s="609" t="s">
        <v>7</v>
      </c>
      <c r="H216" s="327"/>
    </row>
    <row r="217" spans="1:9" s="839" customFormat="1" ht="15.75">
      <c r="A217" s="327"/>
      <c r="B217" s="327"/>
      <c r="C217" s="327"/>
      <c r="D217" s="327"/>
      <c r="G217" s="327" t="s">
        <v>249</v>
      </c>
      <c r="H217" s="137">
        <f>IF(E$59&lt;E$58,E$58,0)</f>
        <v>0</v>
      </c>
    </row>
    <row r="218" spans="1:9" s="839" customFormat="1" thickBot="1">
      <c r="A218" s="608" t="s">
        <v>111</v>
      </c>
      <c r="B218" s="609"/>
      <c r="C218" s="327"/>
      <c r="D218" s="327"/>
      <c r="G218" s="327" t="s">
        <v>250</v>
      </c>
      <c r="H218" s="841">
        <f>IF(E$59&lt;E$58,E262,0)</f>
        <v>0</v>
      </c>
    </row>
    <row r="219" spans="1:9" s="839" customFormat="1" thickTop="1">
      <c r="A219" s="327" t="s">
        <v>45</v>
      </c>
      <c r="B219" s="137">
        <f>IF(AND(F$63=0,F$54&lt;=100),0,IF(AND(F$63=0,F$54&lt;=1000),F$54-100,IF(AND(F$63=0,F$54&gt;1000),1000-100,IF(AND(F$63&gt;0,F$54+F$63&lt;=100),0,IF(AND(F$63&gt;0,F$63+F$54&lt;=1000),F$63+F$54-100,IF(AND(F$63&gt;0,F$63+F$54&gt;1000),1000-100))))))</f>
        <v>0</v>
      </c>
      <c r="C219" s="327" t="s">
        <v>28</v>
      </c>
      <c r="D219" s="137">
        <f>B219*20/100</f>
        <v>0</v>
      </c>
      <c r="G219" s="327"/>
      <c r="H219" s="137">
        <f>H217-H218</f>
        <v>0</v>
      </c>
    </row>
    <row r="220" spans="1:9" s="839" customFormat="1" thickBot="1">
      <c r="A220" s="327" t="s">
        <v>159</v>
      </c>
      <c r="B220" s="137">
        <f>IF(F$54+F$63&lt;1000.01,0,IF(AND(F$54+F$63&gt;1000,F$54+F$63&lt;=1200),F$54+F$63-1000,IF(F$54+F$63&gt;1200,1200-1000,)))</f>
        <v>0</v>
      </c>
      <c r="C220" s="327" t="s">
        <v>29</v>
      </c>
      <c r="D220" s="137">
        <f>B220*10/100</f>
        <v>0</v>
      </c>
      <c r="G220" s="327" t="s">
        <v>251</v>
      </c>
      <c r="H220" s="842">
        <f>H219/6</f>
        <v>0</v>
      </c>
    </row>
    <row r="221" spans="1:9" s="839" customFormat="1" ht="15.75">
      <c r="A221" s="610" t="s">
        <v>30</v>
      </c>
      <c r="B221" s="327"/>
      <c r="C221" s="327"/>
      <c r="D221" s="611">
        <f>SUM(D219:D220)</f>
        <v>0</v>
      </c>
    </row>
    <row r="222" spans="1:9" s="839" customFormat="1" ht="15.75">
      <c r="A222" s="327"/>
      <c r="B222" s="327"/>
      <c r="C222" s="327"/>
      <c r="D222" s="327"/>
      <c r="G222" s="609" t="s">
        <v>8</v>
      </c>
      <c r="H222" s="327"/>
    </row>
    <row r="223" spans="1:9" s="839" customFormat="1" ht="15.75">
      <c r="A223" s="608" t="s">
        <v>110</v>
      </c>
      <c r="B223" s="609"/>
      <c r="C223" s="327"/>
      <c r="D223" s="327"/>
      <c r="G223" s="327" t="s">
        <v>249</v>
      </c>
      <c r="H223" s="137">
        <f>IF(F$59&lt;F$58,F$58,0)</f>
        <v>0</v>
      </c>
    </row>
    <row r="224" spans="1:9" s="839" customFormat="1" thickBot="1">
      <c r="A224" s="327" t="s">
        <v>45</v>
      </c>
      <c r="B224" s="137">
        <f>IF(AND(G$63=0,G$54&lt;=100),0,IF(AND(G$63=0,G$54&lt;=1000),G$54-100,IF(AND(G$63=0,G$54&gt;1000),1000-100,IF(AND(G$63&gt;0,G$54+G$63&lt;=100),0,IF(AND(G$63&gt;0,G$63+G$54&lt;=1000),G$63+G$54-100,IF(AND(G$63&gt;0,G$63+G$54&gt;1000),1000-100))))))</f>
        <v>0</v>
      </c>
      <c r="C224" s="327" t="s">
        <v>28</v>
      </c>
      <c r="D224" s="137">
        <f>B224*20/100</f>
        <v>0</v>
      </c>
      <c r="G224" s="327" t="s">
        <v>250</v>
      </c>
      <c r="H224" s="841">
        <f>IF(F$59&lt;F$58,E267,0)</f>
        <v>0</v>
      </c>
    </row>
    <row r="225" spans="1:8" s="839" customFormat="1" thickTop="1">
      <c r="A225" s="327" t="s">
        <v>159</v>
      </c>
      <c r="B225" s="137">
        <f>IF(G$54+G$63&lt;1000.01,0,IF(AND(G$54+G$63&gt;1000,G$54+G$63&lt;=1200),G$54+G$63-1000,IF(G$54+G$63&gt;1200,1200-1000,)))</f>
        <v>0</v>
      </c>
      <c r="C225" s="327" t="s">
        <v>29</v>
      </c>
      <c r="D225" s="137">
        <f>B225*10/100</f>
        <v>0</v>
      </c>
      <c r="G225" s="327"/>
      <c r="H225" s="137">
        <f>H223-H224</f>
        <v>0</v>
      </c>
    </row>
    <row r="226" spans="1:8" s="839" customFormat="1" thickBot="1">
      <c r="A226" s="610" t="s">
        <v>30</v>
      </c>
      <c r="B226" s="327"/>
      <c r="C226" s="327"/>
      <c r="D226" s="611">
        <f>SUM(D224:D225)</f>
        <v>0</v>
      </c>
      <c r="G226" s="327" t="s">
        <v>251</v>
      </c>
      <c r="H226" s="842">
        <f>H225/6</f>
        <v>0</v>
      </c>
    </row>
    <row r="227" spans="1:8" s="839" customFormat="1" ht="15.75">
      <c r="A227" s="327"/>
      <c r="B227" s="327"/>
      <c r="C227" s="327"/>
      <c r="D227" s="327"/>
    </row>
    <row r="228" spans="1:8" s="839" customFormat="1" ht="15.75">
      <c r="A228" s="608" t="s">
        <v>108</v>
      </c>
      <c r="B228" s="609"/>
      <c r="C228" s="327"/>
      <c r="D228" s="327"/>
      <c r="G228" s="609" t="s">
        <v>9</v>
      </c>
      <c r="H228" s="327"/>
    </row>
    <row r="229" spans="1:8" s="839" customFormat="1" ht="15.75">
      <c r="A229" s="327" t="s">
        <v>45</v>
      </c>
      <c r="B229" s="137">
        <f>IF(AND(H$63=0,H$54&lt;=100),0,IF(AND(H$63=0,H$54&lt;=1000),H$54-100,IF(AND(H$63=0,H$54&gt;1000),1000-100,IF(AND(H$63&gt;0,H$54+H$63&lt;=100),0,IF(AND(H$63&gt;0,H$63+H$54&lt;=1000),H$63+H$54-100,IF(AND(H$63&gt;0,H$63+H$54&gt;1000),1000-100))))))</f>
        <v>0</v>
      </c>
      <c r="C229" s="327" t="s">
        <v>28</v>
      </c>
      <c r="D229" s="137">
        <f>B229*20/100</f>
        <v>0</v>
      </c>
      <c r="G229" s="327" t="s">
        <v>249</v>
      </c>
      <c r="H229" s="137">
        <f>IF(G$59&lt;G$58,G$58,0)</f>
        <v>0</v>
      </c>
    </row>
    <row r="230" spans="1:8" s="839" customFormat="1" thickBot="1">
      <c r="A230" s="327" t="s">
        <v>159</v>
      </c>
      <c r="B230" s="137">
        <f>IF(H$54+H$63&lt;1000.01,0,IF(AND(H$54+H$63&gt;1000,H$54+H$63&lt;=1200),H$54+H$63-1000,IF(H$54+H$63&gt;1200,1200-1000,)))</f>
        <v>0</v>
      </c>
      <c r="C230" s="327" t="s">
        <v>29</v>
      </c>
      <c r="D230" s="137">
        <f>B230*10/100</f>
        <v>0</v>
      </c>
      <c r="G230" s="327" t="s">
        <v>250</v>
      </c>
      <c r="H230" s="841">
        <f>IF(G$59&lt;G$58,E272,0)</f>
        <v>0</v>
      </c>
    </row>
    <row r="231" spans="1:8" s="839" customFormat="1" thickTop="1">
      <c r="A231" s="610" t="s">
        <v>30</v>
      </c>
      <c r="B231" s="327"/>
      <c r="C231" s="327"/>
      <c r="D231" s="611">
        <f>SUM(D229:D230)</f>
        <v>0</v>
      </c>
      <c r="G231" s="327"/>
      <c r="H231" s="137">
        <f>H229-H230</f>
        <v>0</v>
      </c>
    </row>
    <row r="232" spans="1:8" s="839" customFormat="1" thickBot="1">
      <c r="A232" s="327"/>
      <c r="B232" s="327"/>
      <c r="C232" s="327"/>
      <c r="D232" s="327"/>
      <c r="G232" s="327" t="s">
        <v>251</v>
      </c>
      <c r="H232" s="842">
        <f>H231/6</f>
        <v>0</v>
      </c>
    </row>
    <row r="233" spans="1:8" s="839" customFormat="1" ht="15.75">
      <c r="A233" s="608" t="s">
        <v>109</v>
      </c>
      <c r="B233" s="609"/>
      <c r="C233" s="327"/>
      <c r="D233" s="327"/>
    </row>
    <row r="234" spans="1:8" s="839" customFormat="1" ht="15.75">
      <c r="A234" s="327" t="s">
        <v>45</v>
      </c>
      <c r="B234" s="137">
        <f>IF(AND(I$63=0,I$54&lt;=100),0,IF(AND(I$63=0,I$54&lt;=1000),I$54-100,IF(AND(I$63=0,I$54&gt;1000),1000-100,IF(AND(I$63&gt;0,I$54+I$63&lt;=100),0,IF(AND(I$63&gt;0,I$63+I$54&lt;=1000),I$63+I$54-100,IF(AND(I$63&gt;0,I$63+I$54&gt;1000),1000-100))))))</f>
        <v>0</v>
      </c>
      <c r="C234" s="327" t="s">
        <v>28</v>
      </c>
      <c r="D234" s="137">
        <f>B234*20/100</f>
        <v>0</v>
      </c>
      <c r="G234" s="609" t="s">
        <v>10</v>
      </c>
      <c r="H234" s="327"/>
    </row>
    <row r="235" spans="1:8" s="839" customFormat="1" ht="15.75">
      <c r="A235" s="327" t="s">
        <v>159</v>
      </c>
      <c r="B235" s="137">
        <f>IF(I$54+I$63&lt;1000.01,0,IF(AND(I$54+I$63&gt;1000,I$54+I$63&lt;=1200),I$54+I$63-1000,IF(I$54+I$63&gt;1200,1200-1000,)))</f>
        <v>0</v>
      </c>
      <c r="C235" s="327" t="s">
        <v>29</v>
      </c>
      <c r="D235" s="137">
        <f>B235*10/100</f>
        <v>0</v>
      </c>
      <c r="G235" s="327" t="s">
        <v>249</v>
      </c>
      <c r="H235" s="137">
        <f>IF(H$59&lt;H$58,H$58,0)</f>
        <v>0</v>
      </c>
    </row>
    <row r="236" spans="1:8" s="839" customFormat="1" thickBot="1">
      <c r="A236" s="610" t="s">
        <v>30</v>
      </c>
      <c r="B236" s="327"/>
      <c r="C236" s="327"/>
      <c r="D236" s="611">
        <f>SUM(D234:D235)</f>
        <v>0</v>
      </c>
      <c r="G236" s="327" t="s">
        <v>250</v>
      </c>
      <c r="H236" s="841">
        <f>IF(H$59&lt;H$58,E277,0)</f>
        <v>0</v>
      </c>
    </row>
    <row r="237" spans="1:8" s="839" customFormat="1" thickTop="1">
      <c r="A237" s="327"/>
      <c r="B237" s="843"/>
      <c r="C237" s="327"/>
      <c r="D237" s="327"/>
      <c r="G237" s="327"/>
      <c r="H237" s="137">
        <f>H235-H236</f>
        <v>0</v>
      </c>
    </row>
    <row r="238" spans="1:8" s="839" customFormat="1" thickBot="1">
      <c r="A238" s="327"/>
      <c r="B238" s="137"/>
      <c r="C238" s="327"/>
      <c r="D238" s="137"/>
      <c r="G238" s="327" t="s">
        <v>251</v>
      </c>
      <c r="H238" s="842">
        <f>H237/6</f>
        <v>0</v>
      </c>
    </row>
    <row r="239" spans="1:8" s="839" customFormat="1" ht="15.75">
      <c r="A239" s="327"/>
      <c r="B239" s="137"/>
      <c r="C239" s="327"/>
      <c r="D239" s="137"/>
    </row>
    <row r="240" spans="1:8" s="839" customFormat="1" ht="15.75">
      <c r="A240" s="610"/>
      <c r="B240" s="327"/>
      <c r="C240" s="327"/>
      <c r="D240" s="137"/>
      <c r="G240" s="609" t="s">
        <v>34</v>
      </c>
      <c r="H240" s="327"/>
    </row>
    <row r="241" spans="1:8" s="839" customFormat="1" ht="15.75">
      <c r="A241" s="327"/>
      <c r="B241" s="327"/>
      <c r="C241" s="327"/>
      <c r="D241" s="327"/>
      <c r="G241" s="327" t="s">
        <v>249</v>
      </c>
      <c r="H241" s="137">
        <f>IF(I$59&lt;I$58,I$58,0)</f>
        <v>0</v>
      </c>
    </row>
    <row r="242" spans="1:8" s="839" customFormat="1" thickBot="1">
      <c r="A242" s="608"/>
      <c r="B242" s="609"/>
      <c r="C242" s="327"/>
      <c r="D242" s="327"/>
      <c r="G242" s="327" t="s">
        <v>250</v>
      </c>
      <c r="H242" s="841">
        <f>IF(I$59&lt;I$58,E282,0)</f>
        <v>0</v>
      </c>
    </row>
    <row r="243" spans="1:8" s="839" customFormat="1" thickTop="1">
      <c r="A243" s="327"/>
      <c r="B243" s="137"/>
      <c r="C243" s="327"/>
      <c r="D243" s="137"/>
      <c r="G243" s="327"/>
      <c r="H243" s="137">
        <f>H241-H242</f>
        <v>0</v>
      </c>
    </row>
    <row r="244" spans="1:8" s="839" customFormat="1" thickBot="1">
      <c r="A244" s="327"/>
      <c r="B244" s="137"/>
      <c r="C244" s="327"/>
      <c r="D244" s="137"/>
      <c r="G244" s="327" t="s">
        <v>251</v>
      </c>
      <c r="H244" s="842">
        <f>H243/6</f>
        <v>0</v>
      </c>
    </row>
    <row r="245" spans="1:8" s="839" customFormat="1" ht="15.75">
      <c r="A245" s="610"/>
      <c r="B245" s="327"/>
      <c r="C245" s="327"/>
      <c r="D245" s="137"/>
    </row>
    <row r="246" spans="1:8" s="839" customFormat="1" ht="15.75">
      <c r="A246" s="327"/>
      <c r="B246" s="327"/>
      <c r="C246" s="327"/>
      <c r="D246" s="327"/>
    </row>
    <row r="247" spans="1:8" s="839" customFormat="1" ht="15.75">
      <c r="A247" s="844" t="s">
        <v>253</v>
      </c>
      <c r="B247" s="845"/>
      <c r="C247" s="845"/>
      <c r="D247" s="859"/>
      <c r="F247" s="838" t="s">
        <v>254</v>
      </c>
      <c r="G247" s="840"/>
      <c r="H247" s="840"/>
    </row>
    <row r="248" spans="1:8" s="839" customFormat="1" ht="15.75">
      <c r="A248" s="608"/>
      <c r="B248" s="609"/>
      <c r="C248" s="327"/>
      <c r="D248" s="327"/>
    </row>
    <row r="249" spans="1:8" s="839" customFormat="1" ht="15.75">
      <c r="A249" s="846" t="s">
        <v>114</v>
      </c>
      <c r="B249" s="847"/>
      <c r="C249" s="848"/>
      <c r="D249" s="849"/>
      <c r="E249" s="850" t="s">
        <v>255</v>
      </c>
      <c r="G249" s="609" t="s">
        <v>5</v>
      </c>
      <c r="H249" s="327"/>
    </row>
    <row r="250" spans="1:8" s="839" customFormat="1" ht="15.75">
      <c r="A250" s="851" t="s">
        <v>45</v>
      </c>
      <c r="B250" s="320">
        <f>IF(AND(C$63=0,C$54+einmaligesEK!C14&lt;=100),0,IF(AND(C$63=0,C$54+einmaligesEK!C14&lt;=1000),C$54+einmaligesEK!C14-100,IF(AND(C$63=0,C$54+einmaligesEK!C14&gt;1000),1000-100,IF(AND(C$63&gt;0,C$54+C$63+einmaligesEK!C14&lt;=C$131),0,IF(AND(C$63&gt;0,C$63+C$54+einmaligesEK!C14&lt;=1000),C$63+C$54+einmaligesEK!C14-C$131,IF(AND(C$63&gt;0,C$63+C$54+einmaligesEK!C14&gt;1000),1000-C$131))))))</f>
        <v>0</v>
      </c>
      <c r="C250" s="315" t="s">
        <v>28</v>
      </c>
      <c r="D250" s="852">
        <f>B250*20/100</f>
        <v>0</v>
      </c>
      <c r="G250" s="327" t="s">
        <v>249</v>
      </c>
      <c r="H250" s="137">
        <f>IF(C$73&lt;C$72,C$72,0)</f>
        <v>0</v>
      </c>
    </row>
    <row r="251" spans="1:8" s="839" customFormat="1" thickBot="1">
      <c r="A251" s="851" t="s">
        <v>159</v>
      </c>
      <c r="B251" s="320">
        <f>IF(C$54+einmaligesEK!C$14+C$63&lt;1000.01,0,IF(AND(C$54+einmaligesEK!C$14+C$63&gt;1000,C$54+einmaligesEK!C$14+C$63&lt;=1200),C$54+einmaligesEK!C$14+C$63-1000,IF(AND(C$54+einmaligesEK!C$14+C$63&gt;1200,C$8="ja",C$54+einmaligesEK!C$14+C$63&lt;=1500),C$54+einmaligesEK!C$14+C$63-1000,IF(AND(C$54+einmaligesEK!C$14+C$63&gt;1200,C$8="nein",C$54+einmaligesEK!C$14+C$63&lt;=1500),1200-1000,IF(AND(C$54+einmaligesEK!C$14+C$63&gt;=1500,C$8="ja"),1500-1000,IF(AND(C$54+einmaligesEK!C$14+C$63&gt;1500,C$8="nein"),1200-1000))))))</f>
        <v>0</v>
      </c>
      <c r="C251" s="315" t="s">
        <v>29</v>
      </c>
      <c r="D251" s="852">
        <f>B251*10/100</f>
        <v>0</v>
      </c>
      <c r="G251" s="327" t="s">
        <v>256</v>
      </c>
      <c r="H251" s="841">
        <f>IF(C$73&lt;C$72,einmaligesEK!C$12,0)</f>
        <v>0</v>
      </c>
    </row>
    <row r="252" spans="1:8" s="839" customFormat="1" thickTop="1">
      <c r="A252" s="853" t="s">
        <v>30</v>
      </c>
      <c r="B252" s="854"/>
      <c r="C252" s="854"/>
      <c r="D252" s="855">
        <f>SUM(D250:D251)</f>
        <v>0</v>
      </c>
      <c r="E252" s="856">
        <f>D252-D206</f>
        <v>0</v>
      </c>
      <c r="G252" s="327"/>
      <c r="H252" s="137">
        <f>H250-H251</f>
        <v>0</v>
      </c>
    </row>
    <row r="253" spans="1:8" s="839" customFormat="1" thickBot="1">
      <c r="E253" s="857"/>
      <c r="G253" s="327" t="s">
        <v>251</v>
      </c>
      <c r="H253" s="842">
        <f>H252/6</f>
        <v>0</v>
      </c>
    </row>
    <row r="254" spans="1:8" s="839" customFormat="1" ht="15.75">
      <c r="A254" s="846" t="s">
        <v>113</v>
      </c>
      <c r="B254" s="847"/>
      <c r="C254" s="848"/>
      <c r="D254" s="849"/>
      <c r="E254" s="857"/>
    </row>
    <row r="255" spans="1:8" s="839" customFormat="1" ht="15.75">
      <c r="A255" s="851" t="s">
        <v>45</v>
      </c>
      <c r="B255" s="320">
        <f>IF(AND(D$63=0,D$54+einmaligesEK!D14&lt;=100),0,IF(AND(D$63=0,D$54+einmaligesEK!D14&lt;=1000),D$54+einmaligesEK!D14-100,IF(AND(D$63=0,D$54+einmaligesEK!D14&gt;1000),1000-100,IF(AND(D$63&gt;0,D$54+D$63+einmaligesEK!D14&lt;=D$131),0,IF(AND(D$63&gt;0,D$63+D$54+einmaligesEK!D14&lt;=1000),D$63+D$54+einmaligesEK!D14-D$131,IF(AND(D$63&gt;0,D$63+D$54+einmaligesEK!D14&gt;1000),1000-D$131))))))</f>
        <v>0</v>
      </c>
      <c r="C255" s="315" t="s">
        <v>28</v>
      </c>
      <c r="D255" s="852">
        <f>B255*20/100</f>
        <v>0</v>
      </c>
      <c r="E255" s="857"/>
      <c r="G255" s="609" t="s">
        <v>6</v>
      </c>
      <c r="H255" s="327"/>
    </row>
    <row r="256" spans="1:8" s="839" customFormat="1" ht="15.75">
      <c r="A256" s="851" t="s">
        <v>159</v>
      </c>
      <c r="B256" s="320">
        <f>IF(D$54+einmaligesEK!D$14+D$63&lt;1000.01,0,IF(AND(D$54+einmaligesEK!D$14+D$63&gt;1000,D$54+einmaligesEK!D$14+D$63&lt;=1200),D$54+einmaligesEK!D$14+D$63-1000,IF(AND(D$54+einmaligesEK!D$14+D$63&gt;1200,D$8="ja",D$54+einmaligesEK!D$14+D$63&lt;=1500),D$54+einmaligesEK!D$14+D$63-1000,IF(AND(D$54+einmaligesEK!D$14+D$63&gt;1200,D$8="nein",D$54+einmaligesEK!D$14+D$63&lt;=1500),1200-1000,IF(AND(D$54+einmaligesEK!D$14+D$63&gt;=1500,D$8="ja"),1500-1000,IF(AND(D$54+einmaligesEK!D$14+D$63&gt;1500,D$8="nein"),1200-1000))))))</f>
        <v>0</v>
      </c>
      <c r="C256" s="315" t="s">
        <v>29</v>
      </c>
      <c r="D256" s="852">
        <f>B256*10/100</f>
        <v>0</v>
      </c>
      <c r="E256" s="857"/>
      <c r="G256" s="327" t="s">
        <v>249</v>
      </c>
      <c r="H256" s="137">
        <f>IF(D$73&lt;D$72,D$72,0)</f>
        <v>0</v>
      </c>
    </row>
    <row r="257" spans="1:8" s="839" customFormat="1" thickBot="1">
      <c r="A257" s="853" t="s">
        <v>30</v>
      </c>
      <c r="B257" s="854"/>
      <c r="C257" s="854"/>
      <c r="D257" s="855">
        <f>SUM(D255:D256)</f>
        <v>0</v>
      </c>
      <c r="E257" s="856">
        <f>D257-D211</f>
        <v>0</v>
      </c>
      <c r="G257" s="327" t="s">
        <v>256</v>
      </c>
      <c r="H257" s="841">
        <f>IF(D$73&lt;D$72,einmaligesEK!D$12,0)</f>
        <v>0</v>
      </c>
    </row>
    <row r="258" spans="1:8" s="839" customFormat="1" thickTop="1">
      <c r="E258" s="857"/>
      <c r="G258" s="327"/>
      <c r="H258" s="137">
        <f>H256-H257</f>
        <v>0</v>
      </c>
    </row>
    <row r="259" spans="1:8" s="839" customFormat="1" thickBot="1">
      <c r="A259" s="846" t="s">
        <v>112</v>
      </c>
      <c r="B259" s="847"/>
      <c r="C259" s="848"/>
      <c r="D259" s="849"/>
      <c r="E259" s="857"/>
      <c r="G259" s="327" t="s">
        <v>251</v>
      </c>
      <c r="H259" s="842">
        <f>H258/6</f>
        <v>0</v>
      </c>
    </row>
    <row r="260" spans="1:8" s="839" customFormat="1" ht="15.75">
      <c r="A260" s="851" t="s">
        <v>45</v>
      </c>
      <c r="B260" s="320">
        <f>IF(AND(E$63=0,E$54+einmaligesEK!E32&lt;=100),0,IF(AND(E$63=0,E$54+einmaligesEK!E32&lt;=1000),E$54+einmaligesEK!E32-100,IF(AND(E$63=0,E$54+einmaligesEK!E32&gt;1000),1000-100,IF(AND(E$63&gt;0,E$54+E$63+einmaligesEK!E32&lt;=E$131),0,IF(AND(E$63&gt;0,E$63+E$54+einmaligesEK!E32&lt;=1000),E$63+E$54+einmaligesEK!E32-E$131,IF(AND(E$63&gt;0,E$63+E$54+einmaligesEK!E32&gt;1000),1000-E$131))))))</f>
        <v>0</v>
      </c>
      <c r="C260" s="315" t="s">
        <v>28</v>
      </c>
      <c r="D260" s="852">
        <f>B260*20/100</f>
        <v>0</v>
      </c>
      <c r="E260" s="857"/>
    </row>
    <row r="261" spans="1:8" s="839" customFormat="1" ht="15.75">
      <c r="A261" s="851" t="s">
        <v>159</v>
      </c>
      <c r="B261" s="320">
        <f>IF(E$54+einmaligesEK!E$14+E$63&lt;1000.01,0,IF(UNe(E$54+einmaligesEK!E$14+E$63&gt;1000,E$54+einmaligesEK!E$14+E$63&lt;=1200),E$54+einmaligesEK!E$14+E$63-1000,IF(UNe(E$54+einmaligesEK!E$14+E$63&gt;1200,E$8="ja",E$54+einmaligesEK!E$14+E$63&lt;=1500),E$54+einmaligesEK!E$14+E$63-1000,IF(UNe(E$54+einmaligesEK!E$14+E$63&gt;1200,E$8="nein",E$54+einmaligesEK!E$14+E$63&lt;=1500),1200-1000,IF(UNe(E$54+einmaligesEK!E$14+E$63&gt;=1500,E$8="ja"),1500-1000,IF(UNe(E$54+einmaligesEK!E$14+E$63&gt;1500,E$8="nein"),1200-1000))))))</f>
        <v>0</v>
      </c>
      <c r="C261" s="315" t="s">
        <v>29</v>
      </c>
      <c r="D261" s="852">
        <f>B261*10/100</f>
        <v>0</v>
      </c>
      <c r="E261" s="857"/>
      <c r="G261" s="609" t="s">
        <v>7</v>
      </c>
      <c r="H261" s="327"/>
    </row>
    <row r="262" spans="1:8" s="839" customFormat="1" ht="15.75">
      <c r="A262" s="853" t="s">
        <v>30</v>
      </c>
      <c r="B262" s="854"/>
      <c r="C262" s="854"/>
      <c r="D262" s="855">
        <f>SUM(D260:D261)</f>
        <v>0</v>
      </c>
      <c r="E262" s="856">
        <f>D262-D216</f>
        <v>0</v>
      </c>
      <c r="G262" s="327" t="s">
        <v>249</v>
      </c>
      <c r="H262" s="137">
        <f>IF(E$73&lt;E$72,E$72,0)</f>
        <v>0</v>
      </c>
    </row>
    <row r="263" spans="1:8" s="839" customFormat="1" thickBot="1">
      <c r="E263" s="857"/>
      <c r="G263" s="327" t="s">
        <v>256</v>
      </c>
      <c r="H263" s="841">
        <f>IF(E$73&lt;E$72,einmaligesEK!E$12,0)</f>
        <v>0</v>
      </c>
    </row>
    <row r="264" spans="1:8" s="839" customFormat="1" thickTop="1">
      <c r="A264" s="846" t="s">
        <v>111</v>
      </c>
      <c r="B264" s="847"/>
      <c r="C264" s="848"/>
      <c r="D264" s="849"/>
      <c r="E264" s="857"/>
      <c r="G264" s="327"/>
      <c r="H264" s="137">
        <f>H262-H263</f>
        <v>0</v>
      </c>
    </row>
    <row r="265" spans="1:8" s="839" customFormat="1" thickBot="1">
      <c r="A265" s="851" t="s">
        <v>45</v>
      </c>
      <c r="B265" s="320">
        <f>IF(AND(F$63=0,F$54+einmaligesEK!G35&lt;=100),0,IF(AND(F$63=0,F$54+einmaligesEK!G35&lt;=1000),F$54+einmaligesEK!G35-100,IF(AND(F$63=0,F$54+einmaligesEK!G35&gt;1000),1000-100,IF(AND(F$63&gt;0,F$54+F$63+einmaligesEK!G35&lt;=F$131),0,IF(AND(F$63&gt;0,F$63+F$54+einmaligesEK!G35&lt;=1000),F$63+F$54+einmaligesEK!G35-F$131,IF(AND(F$63&gt;0,F$63+F$54+einmaligesEK!G35&gt;1000),1000-F$131))))))</f>
        <v>0</v>
      </c>
      <c r="C265" s="315" t="s">
        <v>28</v>
      </c>
      <c r="D265" s="852">
        <f>B265*20/100</f>
        <v>0</v>
      </c>
      <c r="E265" s="857"/>
      <c r="G265" s="327" t="s">
        <v>251</v>
      </c>
      <c r="H265" s="842">
        <f>H264/6</f>
        <v>0</v>
      </c>
    </row>
    <row r="266" spans="1:8" s="839" customFormat="1" ht="15.75">
      <c r="A266" s="851" t="s">
        <v>159</v>
      </c>
      <c r="B266" s="320">
        <f>IF(F$54+einmaligesEK!F$14+F$63&lt;1000.01,0,IF(UNf(F$54+einmaligesEK!F$14+F$63&gt;1000,F$54+einmaligesEK!F$14+F$63&lt;=1200),F$54+einmaligesEK!F$14+F$63-1000,IF(UNf(F$54+einmaligesEK!F$14+F$63&gt;1200,F$8="ja",F$54+einmaligesEK!F$14+F$63&lt;=1500),F$54+einmaligesEK!F$14+F$63-1000,IF(UNf(F$54+einmaligesEK!F$14+F$63&gt;1200,F$8="nein",F$54+einmaligesEK!F$14+F$63&lt;=1500),1200-1000,IF(UNf(F$54+einmaligesEK!F$14+F$63&gt;=1500,F$8="ja"),1500-1000,IF(UNf(F$54+einmaligesEK!F$14+F$63&gt;1500,F$8="nein"),1200-1000))))))</f>
        <v>0</v>
      </c>
      <c r="C266" s="315" t="s">
        <v>29</v>
      </c>
      <c r="D266" s="852">
        <f>B266*10/100</f>
        <v>0</v>
      </c>
      <c r="E266" s="857"/>
    </row>
    <row r="267" spans="1:8" s="839" customFormat="1" ht="15.75">
      <c r="A267" s="853" t="s">
        <v>30</v>
      </c>
      <c r="B267" s="854"/>
      <c r="C267" s="854"/>
      <c r="D267" s="855">
        <f>SUM(D265:D266)</f>
        <v>0</v>
      </c>
      <c r="E267" s="856">
        <f>D267-D221</f>
        <v>0</v>
      </c>
      <c r="G267" s="609" t="s">
        <v>8</v>
      </c>
      <c r="H267" s="327"/>
    </row>
    <row r="268" spans="1:8" s="839" customFormat="1" ht="15.75">
      <c r="E268" s="857"/>
      <c r="G268" s="327" t="s">
        <v>249</v>
      </c>
      <c r="H268" s="137">
        <f>IF(F$73&lt;F$72,F$72,0)</f>
        <v>0</v>
      </c>
    </row>
    <row r="269" spans="1:8" s="839" customFormat="1" thickBot="1">
      <c r="A269" s="846" t="s">
        <v>110</v>
      </c>
      <c r="B269" s="847"/>
      <c r="C269" s="848"/>
      <c r="D269" s="849"/>
      <c r="E269" s="857"/>
      <c r="G269" s="327" t="s">
        <v>256</v>
      </c>
      <c r="H269" s="841">
        <f>IF(F$73&lt;F$72,einmaligesEK!F$12,0)</f>
        <v>0</v>
      </c>
    </row>
    <row r="270" spans="1:8" s="839" customFormat="1" thickTop="1">
      <c r="A270" s="851" t="s">
        <v>45</v>
      </c>
      <c r="B270" s="320">
        <f>IF(AND(G$63=0,G$54+einmaligesEK!H39&lt;=100),0,IF(AND(G$63=0,G$54+einmaligesEK!H39&lt;=1000),G$54+einmaligesEK!H39-100,IF(AND(G$63=0,G$54+einmaligesEK!H39&gt;1000),1000-100,IF(AND(G$63&gt;0,G$54+G$63+einmaligesEK!H39&lt;=G$131),0,IF(AND(G$63&gt;0,G$63+G$54+einmaligesEK!H39&lt;=1000),G$63+G$54+einmaligesEK!H39-G$131,IF(AND(G$63&gt;0,G$63+G$54+einmaligesEK!H39&gt;1000),1000-G$131))))))</f>
        <v>0</v>
      </c>
      <c r="C270" s="315" t="s">
        <v>28</v>
      </c>
      <c r="D270" s="852">
        <f>B270*20/100</f>
        <v>0</v>
      </c>
      <c r="E270" s="857"/>
      <c r="G270" s="327"/>
      <c r="H270" s="137">
        <f>H268-H269</f>
        <v>0</v>
      </c>
    </row>
    <row r="271" spans="1:8" s="839" customFormat="1" thickBot="1">
      <c r="A271" s="851" t="s">
        <v>159</v>
      </c>
      <c r="B271" s="320">
        <f>IF(G$54+einmaligesEK!G$14+G$63&lt;1000.01,0,IF(UNg(G$54+einmaligesEK!G$14+G$63&gt;1000,G$54+einmaligesEK!G$14+G$63&lt;=1200),G$54+einmaligesEK!G$14+G$63-1000,IF(UNg(G$54+einmaligesEK!G$14+G$63&gt;1200,G$8="ja",G$54+einmaligesEK!G$14+G$63&lt;=1500),G$54+einmaligesEK!G$14+G$63-1000,IF(UNg(G$54+einmaligesEK!G$14+G$63&gt;1200,G$8="nein",G$54+einmaligesEK!G$14+G$63&lt;=1500),1200-1000,IF(UNg(G$54+einmaligesEK!G$14+G$63&gt;=1500,G$8="ja"),1500-1000,IF(UNg(G$54+einmaligesEK!G$14+G$63&gt;1500,G$8="nein"),1200-1000))))))</f>
        <v>0</v>
      </c>
      <c r="C271" s="315" t="s">
        <v>29</v>
      </c>
      <c r="D271" s="852">
        <f>B271*10/100</f>
        <v>0</v>
      </c>
      <c r="E271" s="857"/>
      <c r="G271" s="327" t="s">
        <v>251</v>
      </c>
      <c r="H271" s="842">
        <f>H270/6</f>
        <v>0</v>
      </c>
    </row>
    <row r="272" spans="1:8" s="839" customFormat="1" ht="15.75">
      <c r="A272" s="853" t="s">
        <v>30</v>
      </c>
      <c r="B272" s="854"/>
      <c r="C272" s="854"/>
      <c r="D272" s="855">
        <f>SUM(D270:D271)</f>
        <v>0</v>
      </c>
      <c r="E272" s="856">
        <f>D272-D226</f>
        <v>0</v>
      </c>
    </row>
    <row r="273" spans="1:8" s="839" customFormat="1" ht="15.75">
      <c r="E273" s="857"/>
      <c r="G273" s="609" t="s">
        <v>9</v>
      </c>
      <c r="H273" s="327"/>
    </row>
    <row r="274" spans="1:8" s="839" customFormat="1" ht="15.75">
      <c r="A274" s="846" t="s">
        <v>108</v>
      </c>
      <c r="B274" s="847"/>
      <c r="C274" s="848"/>
      <c r="D274" s="849"/>
      <c r="E274" s="857"/>
      <c r="G274" s="327" t="s">
        <v>249</v>
      </c>
      <c r="H274" s="137">
        <f>IF(G$73&lt;G$72,G$72,0)</f>
        <v>0</v>
      </c>
    </row>
    <row r="275" spans="1:8" s="839" customFormat="1" thickBot="1">
      <c r="A275" s="851" t="s">
        <v>45</v>
      </c>
      <c r="B275" s="320">
        <f>IF(AND(H$63=0,H$54+einmaligesEK!H44&lt;=100),0,IF(AND(H$63=0,H$54+einmaligesEK!H44&lt;=1000),H$54+einmaligesEK!H44-100,IF(AND(H$63=0,H$54+einmaligesEK!H44&gt;1000),1000-100,IF(AND(H$63&gt;0,H$54+H$63+einmaligesEK!H44&lt;=H$131),0,IF(AND(H$63&gt;0,H$63+H$54+einmaligesEK!H44&lt;=1000),H$63+H$54+einmaligesEK!H44-H$131,IF(AND(H$63&gt;0,H$63+H$54+einmaligesEK!H44&gt;1000),1000-H$131))))))</f>
        <v>0</v>
      </c>
      <c r="C275" s="315" t="s">
        <v>28</v>
      </c>
      <c r="D275" s="852">
        <f>B275*20/100</f>
        <v>0</v>
      </c>
      <c r="E275" s="857"/>
      <c r="G275" s="327" t="s">
        <v>256</v>
      </c>
      <c r="H275" s="841">
        <f>IF(G$73&lt;G$72,einmaligesEK!G$12,0)</f>
        <v>0</v>
      </c>
    </row>
    <row r="276" spans="1:8" s="839" customFormat="1" thickTop="1">
      <c r="A276" s="851" t="s">
        <v>159</v>
      </c>
      <c r="B276" s="320">
        <f>IF(H$54+einmaligesEK!H$14+H$63&lt;1000.01,0,IF(UNh(H$54+einmaligesEK!H$14+H$63&gt;1000,H$54+einmaligesEK!H$14+H$63&lt;=1200),H$54+einmaligesEK!H$14+H$63-1000,IF(UNh(H$54+einmaligesEK!H$14+H$63&gt;1200,H$8="ja",H$54+einmaligesEK!H$14+H$63&lt;=1500),H$54+einmaligesEK!H$14+H$63-1000,IF(UNh(H$54+einmaligesEK!H$14+H$63&gt;1200,H$8="nein",H$54+einmaligesEK!H$14+H$63&lt;=1500),1200-1000,IF(UNh(H$54+einmaligesEK!H$14+H$63&gt;=1500,H$8="ja"),1500-1000,IF(UNh(H$54+einmaligesEK!H$14+H$63&gt;1500,H$8="nein"),1200-1000))))))</f>
        <v>0</v>
      </c>
      <c r="C276" s="315" t="s">
        <v>29</v>
      </c>
      <c r="D276" s="852">
        <f>B276*10/100</f>
        <v>0</v>
      </c>
      <c r="E276" s="857"/>
      <c r="G276" s="327"/>
      <c r="H276" s="137">
        <f>H274-H275</f>
        <v>0</v>
      </c>
    </row>
    <row r="277" spans="1:8" s="839" customFormat="1" thickBot="1">
      <c r="A277" s="853" t="s">
        <v>30</v>
      </c>
      <c r="B277" s="854"/>
      <c r="C277" s="854"/>
      <c r="D277" s="855">
        <f>SUM(D275:D276)</f>
        <v>0</v>
      </c>
      <c r="E277" s="856">
        <f>D277-D231</f>
        <v>0</v>
      </c>
      <c r="G277" s="327" t="s">
        <v>251</v>
      </c>
      <c r="H277" s="842">
        <f>H276/6</f>
        <v>0</v>
      </c>
    </row>
    <row r="278" spans="1:8" s="839" customFormat="1" ht="15.75">
      <c r="E278" s="857"/>
    </row>
    <row r="279" spans="1:8" s="839" customFormat="1" ht="15.75">
      <c r="A279" s="846" t="s">
        <v>109</v>
      </c>
      <c r="B279" s="847"/>
      <c r="C279" s="848"/>
      <c r="D279" s="849"/>
      <c r="E279" s="857"/>
      <c r="G279" s="609" t="s">
        <v>10</v>
      </c>
      <c r="H279" s="327"/>
    </row>
    <row r="280" spans="1:8" s="839" customFormat="1" ht="15.75">
      <c r="A280" s="851" t="s">
        <v>45</v>
      </c>
      <c r="B280" s="320">
        <f>IF(AND(I$63=0,I$54+einmaligesEK!I49&lt;=100),0,IF(AND(I$63=0,I$54+einmaligesEK!I49&lt;=1000),I$54+einmaligesEK!I49-100,IF(AND(I$63=0,I$54+einmaligesEK!I49&gt;1000),1000-100,IF(AND(I$63&gt;0,I$54+I$63+einmaligesEK!I49&lt;=I$131),0,IF(AND(I$63&gt;0,I$63+I$54+einmaligesEK!I49&lt;=1000),I$63+I$54+einmaligesEK!I49-I$131,IF(AND(I$63&gt;0,I$63+I$54+einmaligesEK!I49&gt;1000),1000-I$131))))))</f>
        <v>0</v>
      </c>
      <c r="C280" s="315" t="s">
        <v>28</v>
      </c>
      <c r="D280" s="852">
        <f>B280*20/100</f>
        <v>0</v>
      </c>
      <c r="E280" s="857"/>
      <c r="G280" s="327" t="s">
        <v>249</v>
      </c>
      <c r="H280" s="137">
        <f>IF(H$73&lt;H$72,H$72,0)</f>
        <v>0</v>
      </c>
    </row>
    <row r="281" spans="1:8" s="839" customFormat="1" thickBot="1">
      <c r="A281" s="851" t="s">
        <v>159</v>
      </c>
      <c r="B281" s="320">
        <f>IF(I$54+einmaligesEK!I$14+I$63&lt;1000.01,0,IF(UNi(I$54+einmaligesEK!I$14+I$63&gt;1000,I$54+einmaligesEK!I$14+I$63&lt;=1200),I$54+einmaligesEK!I$14+I$63-1000,IF(UNi(I$54+einmaligesEK!I$14+I$63&gt;1200,I$8="ja",I$54+einmaligesEK!I$14+I$63&lt;=1500),I$54+einmaligesEK!I$14+I$63-1000,IF(UNi(I$54+einmaligesEK!I$14+I$63&gt;1200,I$8="nein",I$54+einmaligesEK!I$14+I$63&lt;=1500),1200-1000,IF(UNi(I$54+einmaligesEK!I$14+I$63&gt;=1500,I$8="ja"),1500-1000,IF(UNi(I$54+einmaligesEK!I$14+I$63&gt;1500,I$8="nein"),1200-1000))))))</f>
        <v>0</v>
      </c>
      <c r="C281" s="315" t="s">
        <v>29</v>
      </c>
      <c r="D281" s="852">
        <f>B281*10/100</f>
        <v>0</v>
      </c>
      <c r="E281" s="857"/>
      <c r="G281" s="327" t="s">
        <v>256</v>
      </c>
      <c r="H281" s="841">
        <f>IF(H$73&lt;H$72,einmaligesEK!H$12,0)</f>
        <v>0</v>
      </c>
    </row>
    <row r="282" spans="1:8" s="839" customFormat="1" thickTop="1">
      <c r="A282" s="853" t="s">
        <v>30</v>
      </c>
      <c r="B282" s="854"/>
      <c r="C282" s="854"/>
      <c r="D282" s="855">
        <f>SUM(D280:D281)</f>
        <v>0</v>
      </c>
      <c r="E282" s="856">
        <f>D282-D236</f>
        <v>0</v>
      </c>
      <c r="G282" s="327"/>
      <c r="H282" s="137">
        <f>H280-H281</f>
        <v>0</v>
      </c>
    </row>
    <row r="283" spans="1:8" s="839" customFormat="1" thickBot="1">
      <c r="G283" s="327" t="s">
        <v>251</v>
      </c>
      <c r="H283" s="842">
        <f>H282/6</f>
        <v>0</v>
      </c>
    </row>
    <row r="284" spans="1:8" s="839" customFormat="1" ht="15.75"/>
    <row r="285" spans="1:8" s="839" customFormat="1" ht="15.75">
      <c r="G285" s="609" t="s">
        <v>34</v>
      </c>
      <c r="H285" s="327"/>
    </row>
    <row r="286" spans="1:8" s="839" customFormat="1" ht="15.75">
      <c r="G286" s="327" t="s">
        <v>249</v>
      </c>
      <c r="H286" s="137">
        <f>IF(I$73&lt;I$72,I$72,0)</f>
        <v>0</v>
      </c>
    </row>
    <row r="287" spans="1:8" s="839" customFormat="1" thickBot="1">
      <c r="G287" s="327" t="s">
        <v>256</v>
      </c>
      <c r="H287" s="841">
        <f>IF(I$73&lt;I$72,einmaligesEK!I$12,0)</f>
        <v>0</v>
      </c>
    </row>
    <row r="288" spans="1:8" s="839" customFormat="1" thickTop="1">
      <c r="G288" s="327"/>
      <c r="H288" s="137">
        <f>H286-H287</f>
        <v>0</v>
      </c>
    </row>
    <row r="289" spans="1:8" s="839" customFormat="1" thickBot="1">
      <c r="G289" s="327" t="s">
        <v>251</v>
      </c>
      <c r="H289" s="842">
        <f>H288/6</f>
        <v>0</v>
      </c>
    </row>
    <row r="290" spans="1:8" s="839" customFormat="1" ht="15.75"/>
    <row r="291" spans="1:8" s="839" customFormat="1" ht="15.75" hidden="1"/>
    <row r="292" spans="1:8" s="839" customFormat="1" ht="15.75" hidden="1"/>
    <row r="293" spans="1:8" s="839" customFormat="1" ht="15.75" hidden="1"/>
    <row r="294" spans="1:8" s="839" customFormat="1" ht="15.75"/>
    <row r="295" spans="1:8" s="839" customFormat="1" ht="15.75">
      <c r="A295" s="769" t="s">
        <v>257</v>
      </c>
      <c r="B295" s="770"/>
      <c r="C295" s="770"/>
      <c r="D295" s="770"/>
    </row>
    <row r="296" spans="1:8" s="839" customFormat="1" thickBot="1"/>
    <row r="297" spans="1:8" s="839" customFormat="1" ht="15.75">
      <c r="A297" s="771"/>
      <c r="B297" s="772" t="str">
        <f>Zusatzeingaben!C4</f>
        <v>Antragsteller</v>
      </c>
      <c r="C297" s="772" t="str">
        <f>Zusatzeingaben!D4</f>
        <v>Partner(in)</v>
      </c>
      <c r="D297" s="772" t="str">
        <f>Zusatzeingaben!E4</f>
        <v>Kind 1</v>
      </c>
      <c r="E297" s="773" t="s">
        <v>8</v>
      </c>
      <c r="F297" s="773" t="s">
        <v>9</v>
      </c>
      <c r="G297" s="773" t="s">
        <v>10</v>
      </c>
      <c r="H297" s="774" t="s">
        <v>34</v>
      </c>
    </row>
    <row r="298" spans="1:8" s="839" customFormat="1" ht="15.75">
      <c r="A298" s="775"/>
      <c r="B298" s="776"/>
      <c r="C298" s="776"/>
      <c r="D298" s="776"/>
      <c r="E298" s="776"/>
      <c r="F298" s="776"/>
      <c r="G298" s="776"/>
      <c r="H298" s="777"/>
    </row>
    <row r="299" spans="1:8" s="839" customFormat="1" ht="15.75">
      <c r="A299" s="778" t="s">
        <v>53</v>
      </c>
      <c r="B299" s="779">
        <f>einmaligesEK!C36</f>
        <v>0</v>
      </c>
      <c r="C299" s="779">
        <f>einmaligesEK!D36</f>
        <v>0</v>
      </c>
      <c r="D299" s="779">
        <f>einmaligesEK!E36</f>
        <v>0</v>
      </c>
      <c r="E299" s="779">
        <f>einmaligesEK!F36</f>
        <v>0</v>
      </c>
      <c r="F299" s="779">
        <f>einmaligesEK!G36</f>
        <v>0</v>
      </c>
      <c r="G299" s="779">
        <f>einmaligesEK!H36</f>
        <v>0</v>
      </c>
      <c r="H299" s="779">
        <f>einmaligesEK!I36</f>
        <v>0</v>
      </c>
    </row>
    <row r="300" spans="1:8" s="839" customFormat="1" ht="15.75">
      <c r="A300" s="780" t="s">
        <v>258</v>
      </c>
      <c r="B300" s="779">
        <f>IF(B299&lt;100,B299,100)</f>
        <v>0</v>
      </c>
      <c r="C300" s="295">
        <f t="shared" ref="C300:H300" si="51">IF(C299&lt;100,C299,100)</f>
        <v>0</v>
      </c>
      <c r="D300" s="295">
        <f t="shared" si="51"/>
        <v>0</v>
      </c>
      <c r="E300" s="295">
        <f t="shared" si="51"/>
        <v>0</v>
      </c>
      <c r="F300" s="295">
        <f t="shared" si="51"/>
        <v>0</v>
      </c>
      <c r="G300" s="295">
        <f t="shared" si="51"/>
        <v>0</v>
      </c>
      <c r="H300" s="296">
        <f t="shared" si="51"/>
        <v>0</v>
      </c>
    </row>
    <row r="301" spans="1:8" s="839" customFormat="1" thickBot="1">
      <c r="A301" s="780" t="s">
        <v>259</v>
      </c>
      <c r="B301" s="781">
        <f>D314</f>
        <v>0</v>
      </c>
      <c r="C301" s="312">
        <f>D319</f>
        <v>0</v>
      </c>
      <c r="D301" s="312">
        <f>D324</f>
        <v>0</v>
      </c>
      <c r="E301" s="312">
        <f>D329</f>
        <v>0</v>
      </c>
      <c r="F301" s="312">
        <f>D334</f>
        <v>0</v>
      </c>
      <c r="G301" s="312">
        <f>D339</f>
        <v>0</v>
      </c>
      <c r="H301" s="313">
        <f>D344</f>
        <v>0</v>
      </c>
    </row>
    <row r="302" spans="1:8" s="839" customFormat="1" thickTop="1">
      <c r="A302" s="778"/>
      <c r="B302" s="782"/>
      <c r="C302" s="469"/>
      <c r="D302" s="469"/>
      <c r="E302" s="469"/>
      <c r="F302" s="469"/>
      <c r="G302" s="469"/>
      <c r="H302" s="470"/>
    </row>
    <row r="303" spans="1:8" s="839" customFormat="1" thickBot="1">
      <c r="A303" s="783" t="s">
        <v>260</v>
      </c>
      <c r="B303" s="784">
        <f>B299-B300-B301</f>
        <v>0</v>
      </c>
      <c r="C303" s="785">
        <f t="shared" ref="C303:H303" si="52">C299-C300-C301</f>
        <v>0</v>
      </c>
      <c r="D303" s="785">
        <f t="shared" si="52"/>
        <v>0</v>
      </c>
      <c r="E303" s="785">
        <f t="shared" si="52"/>
        <v>0</v>
      </c>
      <c r="F303" s="785">
        <f t="shared" si="52"/>
        <v>0</v>
      </c>
      <c r="G303" s="785">
        <f t="shared" si="52"/>
        <v>0</v>
      </c>
      <c r="H303" s="786">
        <f t="shared" si="52"/>
        <v>0</v>
      </c>
    </row>
    <row r="304" spans="1:8" s="839" customFormat="1" ht="15.75">
      <c r="B304" s="858"/>
      <c r="C304" s="858"/>
      <c r="D304" s="858"/>
      <c r="E304" s="858"/>
      <c r="F304" s="858"/>
      <c r="G304" s="858"/>
      <c r="H304" s="858"/>
    </row>
    <row r="305" spans="1:8" s="839" customFormat="1" ht="20.100000000000001" hidden="1" customHeight="1">
      <c r="B305" s="858"/>
      <c r="C305" s="858"/>
      <c r="D305" s="858"/>
      <c r="E305" s="858"/>
      <c r="F305" s="858"/>
      <c r="G305" s="858"/>
      <c r="H305" s="858"/>
    </row>
    <row r="306" spans="1:8" s="839" customFormat="1" ht="20.100000000000001" hidden="1" customHeight="1">
      <c r="E306" s="858"/>
      <c r="F306" s="858"/>
      <c r="G306" s="858"/>
      <c r="H306" s="858"/>
    </row>
    <row r="307" spans="1:8" s="839" customFormat="1" ht="15.75" hidden="1"/>
    <row r="308" spans="1:8" s="839" customFormat="1" ht="15.75"/>
    <row r="309" spans="1:8" s="839" customFormat="1" ht="15.75">
      <c r="A309" s="838" t="s">
        <v>261</v>
      </c>
      <c r="B309" s="840"/>
      <c r="C309" s="840"/>
      <c r="D309" s="840"/>
      <c r="E309" s="860"/>
    </row>
    <row r="310" spans="1:8" s="839" customFormat="1" ht="15.75"/>
    <row r="311" spans="1:8" s="839" customFormat="1" ht="15.75">
      <c r="A311" s="846" t="s">
        <v>114</v>
      </c>
      <c r="B311" s="847"/>
      <c r="C311" s="848"/>
      <c r="D311" s="849"/>
    </row>
    <row r="312" spans="1:8" s="839" customFormat="1" ht="15.75">
      <c r="A312" s="851" t="s">
        <v>45</v>
      </c>
      <c r="B312" s="320">
        <f>IF(einmaligesEK!C35&lt;=100,0,IF(einmaligesEK!C35&lt;=1000,einmaligesEK!C35-100,IF(einmaligesEK!C35&gt;1000,1000-100)))</f>
        <v>0</v>
      </c>
      <c r="C312" s="315" t="s">
        <v>28</v>
      </c>
      <c r="D312" s="852">
        <f>B312*20/100</f>
        <v>0</v>
      </c>
    </row>
    <row r="313" spans="1:8" s="839" customFormat="1" ht="20.100000000000001" customHeight="1">
      <c r="A313" s="851" t="s">
        <v>159</v>
      </c>
      <c r="B313" s="320">
        <f>IF(einmaligesEK!C35&lt;1000.01,0,IF(AND(einmaligesEK!C35&gt;1000,einmaligesEK!C35&lt;=1200),einmaligesEK!C35-B312-100,IF(AND(einmaligesEK!C35&gt;1200,C8="ja",einmaligesEK!C35&lt;=1500),einmaligesEK!C35-B312-100,IF(AND(einmaligesEK!C35&gt;1200,C8="nein",einmaligesEK!C35&lt;=1500),1200-B312-100,IF(AND(einmaligesEK!C35&gt;=1500,C8="ja"),1500-B312-100,IF(AND(einmaligesEK!C35&gt;1500,C8="nein"),1200-B312-100))))))</f>
        <v>0</v>
      </c>
      <c r="C313" s="315" t="s">
        <v>29</v>
      </c>
      <c r="D313" s="852">
        <f>B313*10/100</f>
        <v>0</v>
      </c>
    </row>
    <row r="314" spans="1:8" s="839" customFormat="1" ht="15.75">
      <c r="A314" s="853" t="s">
        <v>30</v>
      </c>
      <c r="B314" s="854"/>
      <c r="C314" s="854"/>
      <c r="D314" s="855">
        <f>SUM(D312:D313)</f>
        <v>0</v>
      </c>
    </row>
    <row r="315" spans="1:8" s="839" customFormat="1" ht="15.75"/>
    <row r="316" spans="1:8" s="839" customFormat="1" ht="15.75">
      <c r="A316" s="846" t="s">
        <v>113</v>
      </c>
      <c r="B316" s="847"/>
      <c r="C316" s="848"/>
      <c r="D316" s="849"/>
    </row>
    <row r="317" spans="1:8" s="839" customFormat="1" ht="15.75">
      <c r="A317" s="851" t="s">
        <v>45</v>
      </c>
      <c r="B317" s="320">
        <f>IF(einmaligesEK!D35&lt;=100,0,IF(einmaligesEK!D35&lt;=1000,einmaligesEK!D35-100,IF(einmaligesEK!D35&gt;1000,1000-100)))</f>
        <v>0</v>
      </c>
      <c r="C317" s="315" t="s">
        <v>28</v>
      </c>
      <c r="D317" s="852">
        <f>B317*20/100</f>
        <v>0</v>
      </c>
    </row>
    <row r="318" spans="1:8" s="839" customFormat="1" ht="20.100000000000001" customHeight="1">
      <c r="A318" s="851" t="s">
        <v>159</v>
      </c>
      <c r="B318" s="320">
        <f>IF(einmaligesEK!D35&lt;1000.01,0,IF(AND(einmaligesEK!D35&gt;1000,einmaligesEK!D35&lt;=1200),einmaligesEK!D35-B317-100,IF(AND(einmaligesEK!D35&gt;1200,D8="ja",einmaligesEK!D35&lt;=1500),einmaligesEK!D35-B317-100,IF(AND(einmaligesEK!D35&gt;1200,D8="nein",einmaligesEK!D35&lt;=1500),1200-B317-100,IF(AND(einmaligesEK!D35&gt;=1500,D8="ja"),1500-B317-100,IF(AND(einmaligesEK!D35&gt;1500,D8="nein"),1200-B317-100))))))</f>
        <v>0</v>
      </c>
      <c r="C318" s="315" t="s">
        <v>29</v>
      </c>
      <c r="D318" s="852">
        <f>B318*10/100</f>
        <v>0</v>
      </c>
    </row>
    <row r="319" spans="1:8" s="839" customFormat="1" ht="15.75">
      <c r="A319" s="853" t="s">
        <v>30</v>
      </c>
      <c r="B319" s="854"/>
      <c r="C319" s="854"/>
      <c r="D319" s="855">
        <f>SUM(D317:D318)</f>
        <v>0</v>
      </c>
    </row>
    <row r="320" spans="1:8" s="839" customFormat="1" ht="15.75"/>
    <row r="321" spans="1:4" s="839" customFormat="1" ht="15.75">
      <c r="A321" s="846" t="s">
        <v>112</v>
      </c>
      <c r="B321" s="847"/>
      <c r="C321" s="848"/>
      <c r="D321" s="849"/>
    </row>
    <row r="322" spans="1:4" s="839" customFormat="1" ht="15.75">
      <c r="A322" s="851" t="s">
        <v>45</v>
      </c>
      <c r="B322" s="320">
        <f>IF(einmaligesEK!E35&lt;=100,0,IF(einmaligesEK!E35&lt;=1000,einmaligesEK!E35-100,IF(einmaligesEK!E35&gt;1000,1000-100)))</f>
        <v>0</v>
      </c>
      <c r="C322" s="315" t="s">
        <v>28</v>
      </c>
      <c r="D322" s="852">
        <f>B322*20/100</f>
        <v>0</v>
      </c>
    </row>
    <row r="323" spans="1:4" s="839" customFormat="1" ht="20.100000000000001" customHeight="1">
      <c r="A323" s="851" t="s">
        <v>159</v>
      </c>
      <c r="B323" s="320">
        <f>IF(einmaligesEK!E35&lt;1000.01,0,IF(AND(einmaligesEK!E35&gt;1000,einmaligesEK!E35&lt;=1200),einmaligesEK!E35-B322-100,IF(einmaligesEK!E35&gt;1200,1200-B322-100,)))</f>
        <v>0</v>
      </c>
      <c r="C323" s="315" t="s">
        <v>29</v>
      </c>
      <c r="D323" s="852">
        <f>B323*10/100</f>
        <v>0</v>
      </c>
    </row>
    <row r="324" spans="1:4" s="839" customFormat="1" ht="15.75">
      <c r="A324" s="853" t="s">
        <v>30</v>
      </c>
      <c r="B324" s="854"/>
      <c r="C324" s="854"/>
      <c r="D324" s="855">
        <f>SUM(D322:D323)</f>
        <v>0</v>
      </c>
    </row>
    <row r="325" spans="1:4" s="839" customFormat="1" ht="15.75"/>
    <row r="326" spans="1:4" s="839" customFormat="1" ht="15.75">
      <c r="A326" s="846" t="s">
        <v>111</v>
      </c>
      <c r="B326" s="847"/>
      <c r="C326" s="848"/>
      <c r="D326" s="849"/>
    </row>
    <row r="327" spans="1:4" s="839" customFormat="1" ht="15.75">
      <c r="A327" s="851" t="s">
        <v>45</v>
      </c>
      <c r="B327" s="320">
        <f>IF(einmaligesEK!F35&lt;=100,0,IF(einmaligesEK!F35&lt;=1000,einmaligesEK!F35-100,IF(einmaligesEK!F35&gt;1000,1000-100)))</f>
        <v>0</v>
      </c>
      <c r="C327" s="315" t="s">
        <v>28</v>
      </c>
      <c r="D327" s="852">
        <f>B327*20/100</f>
        <v>0</v>
      </c>
    </row>
    <row r="328" spans="1:4" s="839" customFormat="1" ht="20.100000000000001" customHeight="1">
      <c r="A328" s="851" t="s">
        <v>159</v>
      </c>
      <c r="B328" s="320">
        <f>IF(einmaligesEK!F35&lt;1000.01,0,IF(AND(einmaligesEK!F35&gt;1000,einmaligesEK!F35&lt;=1200),einmaligesEK!F35-B327-100,IF(einmaligesEK!F35&gt;1200,1200-B327-100,)))</f>
        <v>0</v>
      </c>
      <c r="C328" s="315" t="s">
        <v>29</v>
      </c>
      <c r="D328" s="852">
        <f>B328*10/100</f>
        <v>0</v>
      </c>
    </row>
    <row r="329" spans="1:4" s="839" customFormat="1" ht="15.75">
      <c r="A329" s="853" t="s">
        <v>30</v>
      </c>
      <c r="B329" s="854"/>
      <c r="C329" s="854"/>
      <c r="D329" s="855">
        <f>SUM(D327:D328)</f>
        <v>0</v>
      </c>
    </row>
    <row r="330" spans="1:4" s="839" customFormat="1" ht="15.75"/>
    <row r="331" spans="1:4" s="839" customFormat="1" ht="15.75">
      <c r="A331" s="846" t="s">
        <v>110</v>
      </c>
      <c r="B331" s="847"/>
      <c r="C331" s="848"/>
      <c r="D331" s="849"/>
    </row>
    <row r="332" spans="1:4" s="839" customFormat="1" ht="15.75">
      <c r="A332" s="851" t="s">
        <v>45</v>
      </c>
      <c r="B332" s="320">
        <f>IF(einmaligesEK!G35&lt;=100,0,IF(einmaligesEK!G35&lt;=1000,einmaligesEK!G35-100,IF(einmaligesEK!G35&gt;1000,1000-100)))</f>
        <v>0</v>
      </c>
      <c r="C332" s="315" t="s">
        <v>28</v>
      </c>
      <c r="D332" s="852">
        <f>B332*20/100</f>
        <v>0</v>
      </c>
    </row>
    <row r="333" spans="1:4" s="839" customFormat="1" ht="20.100000000000001" customHeight="1">
      <c r="A333" s="851" t="s">
        <v>159</v>
      </c>
      <c r="B333" s="320">
        <f>IF(einmaligesEK!G35&lt;1000.01,0,IF(AND(einmaligesEK!G35&gt;1000,einmaligesEK!G35&lt;=1200),einmaligesEK!G35-B332-100,IF(einmaligesEK!G35&gt;1200,1200-B332-100,)))</f>
        <v>0</v>
      </c>
      <c r="C333" s="315" t="s">
        <v>29</v>
      </c>
      <c r="D333" s="852">
        <f>B333*10/100</f>
        <v>0</v>
      </c>
    </row>
    <row r="334" spans="1:4" s="839" customFormat="1" ht="15.75">
      <c r="A334" s="853" t="s">
        <v>30</v>
      </c>
      <c r="B334" s="854"/>
      <c r="C334" s="854"/>
      <c r="D334" s="855">
        <f>SUM(D332:D333)</f>
        <v>0</v>
      </c>
    </row>
    <row r="335" spans="1:4" s="839" customFormat="1" ht="15.75"/>
    <row r="336" spans="1:4" s="839" customFormat="1" ht="15.75">
      <c r="A336" s="846" t="s">
        <v>108</v>
      </c>
      <c r="B336" s="847"/>
      <c r="C336" s="848"/>
      <c r="D336" s="849"/>
    </row>
    <row r="337" spans="1:4" s="839" customFormat="1" ht="15.75">
      <c r="A337" s="851" t="s">
        <v>45</v>
      </c>
      <c r="B337" s="320">
        <f>IF(einmaligesEK!H35&lt;=100,0,IF(einmaligesEK!H35&lt;=1000,einmaligesEK!H35-100,IF(einmaligesEK!H35&gt;1000,1000-100)))</f>
        <v>0</v>
      </c>
      <c r="C337" s="315" t="s">
        <v>28</v>
      </c>
      <c r="D337" s="852">
        <f>B337*20/100</f>
        <v>0</v>
      </c>
    </row>
    <row r="338" spans="1:4" s="839" customFormat="1" ht="20.100000000000001" customHeight="1">
      <c r="A338" s="851" t="s">
        <v>159</v>
      </c>
      <c r="B338" s="320">
        <f>IF(einmaligesEK!H35&lt;1000.01,0,IF(AND(einmaligesEK!H35&gt;1000,einmaligesEK!H35&lt;=1200),einmaligesEK!H35-B337-100,IF(einmaligesEK!H35&gt;1200,1200-B337-100,)))</f>
        <v>0</v>
      </c>
      <c r="C338" s="315" t="s">
        <v>29</v>
      </c>
      <c r="D338" s="852">
        <f>B338*10/100</f>
        <v>0</v>
      </c>
    </row>
    <row r="339" spans="1:4" s="839" customFormat="1" ht="15.75">
      <c r="A339" s="853" t="s">
        <v>30</v>
      </c>
      <c r="B339" s="854"/>
      <c r="C339" s="854"/>
      <c r="D339" s="855">
        <f>SUM(D337:D338)</f>
        <v>0</v>
      </c>
    </row>
    <row r="340" spans="1:4" s="839" customFormat="1" ht="15.75"/>
    <row r="341" spans="1:4" s="839" customFormat="1" ht="15.75">
      <c r="A341" s="846" t="s">
        <v>109</v>
      </c>
      <c r="B341" s="847"/>
      <c r="C341" s="848"/>
      <c r="D341" s="849"/>
    </row>
    <row r="342" spans="1:4" s="839" customFormat="1" ht="15.75">
      <c r="A342" s="851" t="s">
        <v>45</v>
      </c>
      <c r="B342" s="320">
        <f>IF(einmaligesEK!I35&lt;=100,0,IF(einmaligesEK!I35&lt;=1000,einmaligesEK!I35-100,IF(einmaligesEK!I35&gt;1000,1000-100)))</f>
        <v>0</v>
      </c>
      <c r="C342" s="315" t="s">
        <v>28</v>
      </c>
      <c r="D342" s="852">
        <f>B342*20/100</f>
        <v>0</v>
      </c>
    </row>
    <row r="343" spans="1:4" s="839" customFormat="1" ht="15.75">
      <c r="A343" s="851" t="s">
        <v>159</v>
      </c>
      <c r="B343" s="320">
        <f>IF(einmaligesEK!I35&lt;1000.01,0,IF(AND(einmaligesEK!I35&gt;1000,einmaligesEK!I35&lt;=1200),einmaligesEK!I35-B342-100,IF(einmaligesEK!I35&gt;1200,1200-B342-100,)))</f>
        <v>0</v>
      </c>
      <c r="C343" s="315" t="s">
        <v>29</v>
      </c>
      <c r="D343" s="852">
        <f>B343*10/100</f>
        <v>0</v>
      </c>
    </row>
    <row r="344" spans="1:4" s="839" customFormat="1" ht="15.75">
      <c r="A344" s="853" t="s">
        <v>30</v>
      </c>
      <c r="B344" s="854"/>
      <c r="C344" s="854"/>
      <c r="D344" s="855">
        <f>SUM(D342:D343)</f>
        <v>0</v>
      </c>
    </row>
    <row r="345" spans="1:4" s="839" customFormat="1" ht="15.75"/>
    <row r="346" spans="1:4" s="839" customFormat="1" ht="15.75"/>
  </sheetData>
  <sheetProtection sheet="1" objects="1" scenarios="1"/>
  <mergeCells count="2">
    <mergeCell ref="B3:C3"/>
    <mergeCell ref="A2:I2"/>
  </mergeCells>
  <conditionalFormatting sqref="B21:B47 B167:B170 B174 E171:I173 C47:I47 B50:C50 B13:B19 B49 B193:B198 B186:B188 B54:B55 B61:B71 B75:B142">
    <cfRule type="cellIs" dxfId="104" priority="43" stopIfTrue="1" operator="equal">
      <formula>0</formula>
    </cfRule>
  </conditionalFormatting>
  <conditionalFormatting sqref="B181:I181 B191:I191 B199:I200">
    <cfRule type="cellIs" dxfId="103" priority="44" stopIfTrue="1" operator="equal">
      <formula>0</formula>
    </cfRule>
  </conditionalFormatting>
  <conditionalFormatting sqref="A172">
    <cfRule type="cellIs" dxfId="102" priority="45" stopIfTrue="1" operator="equal">
      <formula>"Mehrbedarf nach § 27 (2) SGB II"</formula>
    </cfRule>
  </conditionalFormatting>
  <conditionalFormatting sqref="C172:D173">
    <cfRule type="cellIs" dxfId="101" priority="46" stopIfTrue="1" operator="notEqual">
      <formula>0</formula>
    </cfRule>
  </conditionalFormatting>
  <conditionalFormatting sqref="C177">
    <cfRule type="expression" dxfId="100" priority="47" stopIfTrue="1">
      <formula>$C$172&gt;0</formula>
    </cfRule>
  </conditionalFormatting>
  <conditionalFormatting sqref="A173">
    <cfRule type="cellIs" dxfId="99" priority="48" stopIfTrue="1" operator="equal">
      <formula>"./. Überschuss"</formula>
    </cfRule>
  </conditionalFormatting>
  <conditionalFormatting sqref="D177">
    <cfRule type="expression" dxfId="98" priority="49" stopIfTrue="1">
      <formula>$D$172&gt;0</formula>
    </cfRule>
  </conditionalFormatting>
  <conditionalFormatting sqref="C136:D136">
    <cfRule type="cellIs" dxfId="97" priority="41" stopIfTrue="1" operator="equal">
      <formula>0</formula>
    </cfRule>
  </conditionalFormatting>
  <conditionalFormatting sqref="E136:I136">
    <cfRule type="cellIs" dxfId="96" priority="40" stopIfTrue="1" operator="equal">
      <formula>0</formula>
    </cfRule>
  </conditionalFormatting>
  <conditionalFormatting sqref="C91:I91">
    <cfRule type="cellIs" dxfId="95" priority="39" stopIfTrue="1" operator="equal">
      <formula>0</formula>
    </cfRule>
  </conditionalFormatting>
  <conditionalFormatting sqref="C129:I129">
    <cfRule type="cellIs" dxfId="94" priority="38" stopIfTrue="1" operator="equal">
      <formula>0</formula>
    </cfRule>
  </conditionalFormatting>
  <conditionalFormatting sqref="C131:I131">
    <cfRule type="cellIs" dxfId="93" priority="37" stopIfTrue="1" operator="equal">
      <formula>0</formula>
    </cfRule>
  </conditionalFormatting>
  <conditionalFormatting sqref="C56:I59">
    <cfRule type="cellIs" dxfId="92" priority="35" stopIfTrue="1" operator="equal">
      <formula>0</formula>
    </cfRule>
  </conditionalFormatting>
  <conditionalFormatting sqref="B56:B60">
    <cfRule type="cellIs" dxfId="91" priority="36" stopIfTrue="1" operator="equal">
      <formula>0</formula>
    </cfRule>
  </conditionalFormatting>
  <conditionalFormatting sqref="C72:I73">
    <cfRule type="cellIs" dxfId="90" priority="26" stopIfTrue="1" operator="equal">
      <formula>0</formula>
    </cfRule>
  </conditionalFormatting>
  <conditionalFormatting sqref="B72:B74">
    <cfRule type="cellIs" dxfId="89" priority="27" stopIfTrue="1" operator="equal">
      <formula>0</formula>
    </cfRule>
  </conditionalFormatting>
  <conditionalFormatting sqref="C132:I132">
    <cfRule type="cellIs" dxfId="88" priority="18" stopIfTrue="1" operator="equal">
      <formula>0</formula>
    </cfRule>
  </conditionalFormatting>
  <conditionalFormatting sqref="C133:I133">
    <cfRule type="cellIs" dxfId="87" priority="17" stopIfTrue="1" operator="equal">
      <formula>0</formula>
    </cfRule>
  </conditionalFormatting>
  <conditionalFormatting sqref="C138:I138">
    <cfRule type="cellIs" dxfId="86" priority="16" stopIfTrue="1" operator="equal">
      <formula>0</formula>
    </cfRule>
  </conditionalFormatting>
  <conditionalFormatting sqref="E139:I139">
    <cfRule type="cellIs" dxfId="85" priority="15" stopIfTrue="1" operator="equal">
      <formula>0</formula>
    </cfRule>
  </conditionalFormatting>
  <conditionalFormatting sqref="C84:I84">
    <cfRule type="cellIs" dxfId="84" priority="14" stopIfTrue="1" operator="equal">
      <formula>0</formula>
    </cfRule>
  </conditionalFormatting>
  <conditionalFormatting sqref="C85:I85">
    <cfRule type="cellIs" dxfId="83" priority="13" stopIfTrue="1" operator="equal">
      <formula>0</formula>
    </cfRule>
  </conditionalFormatting>
  <conditionalFormatting sqref="C93:I93">
    <cfRule type="cellIs" dxfId="82" priority="12" stopIfTrue="1" operator="equal">
      <formula>0</formula>
    </cfRule>
  </conditionalFormatting>
  <conditionalFormatting sqref="C100:I100">
    <cfRule type="cellIs" dxfId="81" priority="11" stopIfTrue="1" operator="equal">
      <formula>0</formula>
    </cfRule>
  </conditionalFormatting>
  <conditionalFormatting sqref="C107:I107">
    <cfRule type="cellIs" dxfId="80" priority="10" stopIfTrue="1" operator="equal">
      <formula>0</formula>
    </cfRule>
  </conditionalFormatting>
  <conditionalFormatting sqref="C114:I114">
    <cfRule type="cellIs" dxfId="79" priority="9" stopIfTrue="1" operator="equal">
      <formula>0</formula>
    </cfRule>
  </conditionalFormatting>
  <conditionalFormatting sqref="C121:I121">
    <cfRule type="cellIs" dxfId="78" priority="8" stopIfTrue="1" operator="equal">
      <formula>0</formula>
    </cfRule>
  </conditionalFormatting>
  <conditionalFormatting sqref="C127:I127">
    <cfRule type="cellIs" dxfId="77" priority="7" stopIfTrue="1" operator="equal">
      <formula>0</formula>
    </cfRule>
  </conditionalFormatting>
  <conditionalFormatting sqref="A60">
    <cfRule type="cellIs" dxfId="76" priority="6" operator="greaterThan">
      <formula>0</formula>
    </cfRule>
  </conditionalFormatting>
  <conditionalFormatting sqref="A74">
    <cfRule type="cellIs" dxfId="75" priority="5" operator="greaterThan">
      <formula>0</formula>
    </cfRule>
  </conditionalFormatting>
  <conditionalFormatting sqref="C137:I137">
    <cfRule type="cellIs" dxfId="74" priority="4" stopIfTrue="1" operator="equal">
      <formula>0</formula>
    </cfRule>
  </conditionalFormatting>
  <conditionalFormatting sqref="C92:I92">
    <cfRule type="cellIs" dxfId="73" priority="3" stopIfTrue="1" operator="equal">
      <formula>0</formula>
    </cfRule>
  </conditionalFormatting>
  <conditionalFormatting sqref="C99:I99">
    <cfRule type="cellIs" dxfId="72" priority="2" stopIfTrue="1" operator="equal">
      <formula>0</formula>
    </cfRule>
  </conditionalFormatting>
  <conditionalFormatting sqref="C106:I106">
    <cfRule type="cellIs" dxfId="71" priority="1" stopIfTrue="1" operator="equal">
      <formula>0</formula>
    </cfRule>
  </conditionalFormatting>
  <pageMargins left="1.1023622047244095" right="0.70866141732283472" top="0.19685039370078741" bottom="0.19685039370078741" header="0.31496062992125984" footer="0.31496062992125984"/>
  <pageSetup paperSize="9" scale="55" fitToWidth="0" fitToHeight="0" orientation="portrait" r:id="rId1"/>
</worksheet>
</file>

<file path=xl/worksheets/sheet12.xml><?xml version="1.0" encoding="utf-8"?>
<worksheet xmlns="http://schemas.openxmlformats.org/spreadsheetml/2006/main" xmlns:r="http://schemas.openxmlformats.org/officeDocument/2006/relationships">
  <dimension ref="A1:AE307"/>
  <sheetViews>
    <sheetView showGridLines="0" showRowColHeaders="0" showZeros="0" zoomScale="118" zoomScaleNormal="118" workbookViewId="0">
      <pane xSplit="9" ySplit="35" topLeftCell="J36" activePane="bottomRight" state="frozen"/>
      <selection pane="topRight" activeCell="J1" sqref="J1"/>
      <selection pane="bottomLeft" activeCell="A36" sqref="A36"/>
      <selection pane="bottomRight" activeCell="B102" sqref="B102"/>
    </sheetView>
  </sheetViews>
  <sheetFormatPr baseColWidth="10" defaultRowHeight="12.75"/>
  <cols>
    <col min="1" max="1" width="47.42578125" customWidth="1"/>
    <col min="2" max="2" width="14.140625" customWidth="1"/>
    <col min="3" max="4" width="13.28515625" customWidth="1"/>
    <col min="5" max="5" width="12.42578125" customWidth="1"/>
    <col min="6" max="7" width="12.5703125" customWidth="1"/>
    <col min="8" max="8" width="12.42578125" customWidth="1"/>
    <col min="9" max="9" width="12.85546875" customWidth="1"/>
  </cols>
  <sheetData>
    <row r="1" spans="1:12" s="2" customFormat="1" ht="23.25">
      <c r="A1" s="66"/>
      <c r="B1" s="67" t="s">
        <v>127</v>
      </c>
      <c r="C1" s="68"/>
      <c r="D1" s="69"/>
      <c r="E1" s="68"/>
      <c r="F1" s="68"/>
      <c r="G1" s="70"/>
      <c r="H1" s="70"/>
      <c r="I1" s="71"/>
      <c r="J1" s="5"/>
      <c r="K1" s="1"/>
      <c r="L1" s="1"/>
    </row>
    <row r="2" spans="1:12" s="2" customFormat="1" ht="21.75" customHeight="1" thickBot="1">
      <c r="A2" s="538" t="s">
        <v>4</v>
      </c>
      <c r="B2" s="2165">
        <f>Zusatzeingaben!B2</f>
        <v>0</v>
      </c>
      <c r="C2" s="2166"/>
      <c r="D2" s="539" t="s">
        <v>33</v>
      </c>
      <c r="E2" s="544">
        <f>Zusatzeingaben!E2</f>
        <v>43344</v>
      </c>
      <c r="F2" s="540">
        <f>EOMONTH(E2,0)</f>
        <v>43373</v>
      </c>
      <c r="G2" s="541">
        <f>DAY(F2)</f>
        <v>30</v>
      </c>
      <c r="H2" s="542">
        <f>IF(G2&lt;&gt;30,30,30)</f>
        <v>30</v>
      </c>
      <c r="I2" s="543" t="str">
        <f>TEXT(E2,"MMMM")</f>
        <v>September</v>
      </c>
      <c r="J2" s="261"/>
      <c r="K2" s="1"/>
      <c r="L2" s="1"/>
    </row>
    <row r="3" spans="1:12" s="2" customFormat="1" ht="21" thickBot="1">
      <c r="A3" s="100"/>
      <c r="B3" s="101" t="s">
        <v>128</v>
      </c>
      <c r="C3" s="102"/>
      <c r="D3" s="102"/>
      <c r="E3" s="102"/>
      <c r="F3" s="102"/>
      <c r="G3" s="102"/>
      <c r="H3" s="102"/>
      <c r="I3" s="103"/>
      <c r="J3" s="402">
        <f>DATE(YEAR(E2),MONTH(E2)*1-300,)</f>
        <v>34212</v>
      </c>
      <c r="K3" s="403">
        <f>J3+1</f>
        <v>34213</v>
      </c>
      <c r="L3" s="364"/>
    </row>
    <row r="4" spans="1:12" s="2" customFormat="1" ht="18.75">
      <c r="A4" s="169" t="s">
        <v>64</v>
      </c>
      <c r="B4" s="640" t="s">
        <v>30</v>
      </c>
      <c r="C4" s="641" t="str">
        <f>Zusatzeingaben!C4</f>
        <v>Antragsteller</v>
      </c>
      <c r="D4" s="641" t="str">
        <f>Zusatzeingaben!D4</f>
        <v>Partner(in)</v>
      </c>
      <c r="E4" s="641" t="str">
        <f>Zusatzeingaben!E4</f>
        <v>Kind 1</v>
      </c>
      <c r="F4" s="640" t="s">
        <v>8</v>
      </c>
      <c r="G4" s="640" t="s">
        <v>9</v>
      </c>
      <c r="H4" s="640" t="s">
        <v>10</v>
      </c>
      <c r="I4" s="642" t="s">
        <v>34</v>
      </c>
    </row>
    <row r="5" spans="1:12" s="2" customFormat="1" ht="18.75" customHeight="1">
      <c r="A5" s="97" t="s">
        <v>116</v>
      </c>
      <c r="B5" s="576">
        <f>Zusatzeingaben!B5</f>
        <v>0</v>
      </c>
      <c r="C5" s="356">
        <f>B6+B5</f>
        <v>1</v>
      </c>
      <c r="D5" s="147"/>
      <c r="E5" s="147"/>
      <c r="F5" s="147"/>
      <c r="G5" s="147"/>
      <c r="H5" s="147"/>
      <c r="I5" s="148"/>
    </row>
    <row r="6" spans="1:12" s="2" customFormat="1" ht="20.100000000000001" customHeight="1">
      <c r="A6" s="79" t="s">
        <v>58</v>
      </c>
      <c r="B6" s="357">
        <f>COUNTIF(C33:I33,"&gt;0")</f>
        <v>1</v>
      </c>
      <c r="C6" s="31">
        <f>Zusatzeingaben!C6</f>
        <v>0</v>
      </c>
      <c r="D6" s="31">
        <f>Zusatzeingaben!D6</f>
        <v>0</v>
      </c>
      <c r="E6" s="31">
        <f>Zusatzeingaben!E6</f>
        <v>0</v>
      </c>
      <c r="F6" s="31">
        <f>Zusatzeingaben!F6</f>
        <v>0</v>
      </c>
      <c r="G6" s="31">
        <f>Zusatzeingaben!G6</f>
        <v>0</v>
      </c>
      <c r="H6" s="31">
        <f>Zusatzeingaben!H6</f>
        <v>0</v>
      </c>
      <c r="I6" s="80">
        <f>Zusatzeingaben!I6</f>
        <v>0</v>
      </c>
    </row>
    <row r="7" spans="1:12" s="2" customFormat="1" ht="20.100000000000001" hidden="1" customHeight="1">
      <c r="A7" s="81" t="s">
        <v>32</v>
      </c>
      <c r="B7" s="150">
        <f>COUNTIF(E16:I16,"&lt;18")</f>
        <v>0</v>
      </c>
      <c r="C7" s="151" t="str">
        <f>Zusatzeingaben!C7</f>
        <v>Nein</v>
      </c>
      <c r="D7" s="151" t="str">
        <f>Zusatzeingaben!D7</f>
        <v>Nein</v>
      </c>
      <c r="E7" s="582" t="str">
        <f>IF(AND(C7=FALSE,$B$7&lt;1),"nein","ja")</f>
        <v>ja</v>
      </c>
      <c r="F7" s="582" t="str">
        <f>IF(AND(D7=FALSE,$B$7&lt;1),"nein","ja")</f>
        <v>ja</v>
      </c>
      <c r="G7" s="33"/>
      <c r="H7" s="33"/>
      <c r="I7" s="82"/>
    </row>
    <row r="8" spans="1:12" s="2" customFormat="1" ht="20.100000000000001" customHeight="1">
      <c r="A8" s="81" t="s">
        <v>68</v>
      </c>
      <c r="B8" s="32"/>
      <c r="C8" s="143">
        <f>Zusatzeingaben!C8</f>
        <v>0</v>
      </c>
      <c r="D8" s="143">
        <f>Zusatzeingaben!D8</f>
        <v>0</v>
      </c>
      <c r="E8" s="143">
        <f>Zusatzeingaben!E8</f>
        <v>0</v>
      </c>
      <c r="F8" s="143">
        <f>Zusatzeingaben!F8</f>
        <v>0</v>
      </c>
      <c r="G8" s="143">
        <f>Zusatzeingaben!G8</f>
        <v>0</v>
      </c>
      <c r="H8" s="143">
        <f>Zusatzeingaben!H8</f>
        <v>0</v>
      </c>
      <c r="I8" s="269">
        <f>Zusatzeingaben!I8</f>
        <v>0</v>
      </c>
      <c r="J8" s="267"/>
      <c r="K8" s="404">
        <f>IF(E8&gt;E2,E14,0)</f>
        <v>0</v>
      </c>
    </row>
    <row r="9" spans="1:12" s="2" customFormat="1" ht="20.100000000000001" hidden="1" customHeight="1">
      <c r="A9" s="156"/>
      <c r="B9" s="32"/>
      <c r="C9" s="30">
        <f t="shared" ref="C9:I9" si="0">DAY(C8)</f>
        <v>0</v>
      </c>
      <c r="D9" s="30">
        <f t="shared" si="0"/>
        <v>0</v>
      </c>
      <c r="E9" s="30">
        <f t="shared" si="0"/>
        <v>0</v>
      </c>
      <c r="F9" s="30">
        <f t="shared" si="0"/>
        <v>0</v>
      </c>
      <c r="G9" s="30">
        <f t="shared" si="0"/>
        <v>0</v>
      </c>
      <c r="H9" s="30">
        <f t="shared" si="0"/>
        <v>0</v>
      </c>
      <c r="I9" s="155">
        <f t="shared" si="0"/>
        <v>0</v>
      </c>
    </row>
    <row r="10" spans="1:12" s="2" customFormat="1" ht="20.100000000000001" hidden="1" customHeight="1">
      <c r="A10" s="156"/>
      <c r="B10" s="32"/>
      <c r="C10" s="30">
        <f t="shared" ref="C10:I10" si="1">C9-1</f>
        <v>-1</v>
      </c>
      <c r="D10" s="30">
        <f t="shared" si="1"/>
        <v>-1</v>
      </c>
      <c r="E10" s="30">
        <f t="shared" si="1"/>
        <v>-1</v>
      </c>
      <c r="F10" s="30">
        <f t="shared" si="1"/>
        <v>-1</v>
      </c>
      <c r="G10" s="30">
        <f t="shared" si="1"/>
        <v>-1</v>
      </c>
      <c r="H10" s="30">
        <f t="shared" si="1"/>
        <v>-1</v>
      </c>
      <c r="I10" s="155">
        <f t="shared" si="1"/>
        <v>-1</v>
      </c>
    </row>
    <row r="11" spans="1:12" s="2" customFormat="1" ht="20.100000000000001" hidden="1" customHeight="1">
      <c r="A11" s="156"/>
      <c r="B11" s="32"/>
      <c r="C11" s="30">
        <f>IF(OR(C9=31,C9=28*(AND(I2="februar")),C9=29*(AND(I2="februar"))),29,C10)</f>
        <v>29</v>
      </c>
      <c r="D11" s="30">
        <f>IF(OR(D9=31,D9=28*(AND(I2="februar")),D9=29*(AND(I2="februar"))),29,D10)</f>
        <v>29</v>
      </c>
      <c r="E11" s="30">
        <f>IF(OR(E9=31,E9=28*(AND(I2="februar")),E9=29*(AND(I2="februar"))),29,E10)</f>
        <v>29</v>
      </c>
      <c r="F11" s="30">
        <f>IF(OR(F9=31,F9=28*(AND(I2="februar")),F9=29*(AND(I2="februar"))),29,F10)</f>
        <v>29</v>
      </c>
      <c r="G11" s="30">
        <f>IF(OR(G9=31,G9=28*(AND(I2="februar")),G9=29*(AND(I2="februar"))),29,G10)</f>
        <v>29</v>
      </c>
      <c r="H11" s="30">
        <f>IF(OR(H9=31,H9=28*(AND(I2="februar")),H9=29*(AND(I2="februar"))),29,H10)</f>
        <v>29</v>
      </c>
      <c r="I11" s="155">
        <f>IF(OR(I9=31,I9=28*(AND(I2="februar")),I9=29*(AND(I2="februar"))),29,I10)</f>
        <v>29</v>
      </c>
    </row>
    <row r="12" spans="1:12" s="2" customFormat="1" ht="20.100000000000001" hidden="1" customHeight="1">
      <c r="A12" s="156"/>
      <c r="B12" s="32"/>
      <c r="C12" s="30">
        <f>H2-C10</f>
        <v>31</v>
      </c>
      <c r="D12" s="30">
        <f>H2-D10</f>
        <v>31</v>
      </c>
      <c r="E12" s="30">
        <f>H2-E10</f>
        <v>31</v>
      </c>
      <c r="F12" s="30">
        <f>H2-F10</f>
        <v>31</v>
      </c>
      <c r="G12" s="30">
        <f>H2-G10</f>
        <v>31</v>
      </c>
      <c r="H12" s="30">
        <f>H2-H10</f>
        <v>31</v>
      </c>
      <c r="I12" s="155">
        <f>H2-I10</f>
        <v>31</v>
      </c>
    </row>
    <row r="13" spans="1:12" s="2" customFormat="1" ht="20.100000000000001" hidden="1" customHeight="1">
      <c r="A13" s="156"/>
      <c r="B13" s="32"/>
      <c r="C13" s="30">
        <f t="shared" ref="C13:I13" si="2">IF(C12=0,1,IF(C11=29,1,C12))</f>
        <v>1</v>
      </c>
      <c r="D13" s="30">
        <f t="shared" si="2"/>
        <v>1</v>
      </c>
      <c r="E13" s="30">
        <f t="shared" si="2"/>
        <v>1</v>
      </c>
      <c r="F13" s="30">
        <f t="shared" si="2"/>
        <v>1</v>
      </c>
      <c r="G13" s="30">
        <f t="shared" si="2"/>
        <v>1</v>
      </c>
      <c r="H13" s="30">
        <f t="shared" si="2"/>
        <v>1</v>
      </c>
      <c r="I13" s="155">
        <f t="shared" si="2"/>
        <v>1</v>
      </c>
    </row>
    <row r="14" spans="1:12" s="2" customFormat="1" ht="20.100000000000001" hidden="1" customHeight="1">
      <c r="A14" s="156"/>
      <c r="B14" s="32"/>
      <c r="C14" s="30"/>
      <c r="D14" s="30"/>
      <c r="E14" s="30">
        <f>IF(E8&gt;E2,G2-E10,E13)</f>
        <v>1</v>
      </c>
      <c r="F14" s="30">
        <f>IF(F8&gt;E2,G2-F10,F13)</f>
        <v>1</v>
      </c>
      <c r="G14" s="30">
        <f>IF(G8&gt;E2,G2-G10,G13)</f>
        <v>1</v>
      </c>
      <c r="H14" s="30">
        <f>IF(H8&gt;E2,G2-H10,H13)</f>
        <v>1</v>
      </c>
      <c r="I14" s="155">
        <f>IF(I8&gt;E2,G2-I10,I13)</f>
        <v>1</v>
      </c>
    </row>
    <row r="15" spans="1:12" s="5" customFormat="1" ht="16.5" hidden="1" customHeight="1">
      <c r="A15" s="168"/>
      <c r="B15" s="32"/>
      <c r="C15" s="159">
        <f>DATEDIF(C$8,E2,"y")</f>
        <v>118</v>
      </c>
      <c r="D15" s="159">
        <f>DATEDIF(D$8,E2,"y")</f>
        <v>118</v>
      </c>
      <c r="E15" s="159">
        <f>DATEDIF(E$8,E2,"y")</f>
        <v>118</v>
      </c>
      <c r="F15" s="159">
        <f>DATEDIF(F$8,E2,"y")</f>
        <v>118</v>
      </c>
      <c r="G15" s="159">
        <f>DATEDIF(G$8,E2,"y")</f>
        <v>118</v>
      </c>
      <c r="H15" s="159">
        <f>DATEDIF(H$8,E2,"y")</f>
        <v>118</v>
      </c>
      <c r="I15" s="160">
        <f>DATEDIF(I$8,E2,"y")</f>
        <v>118</v>
      </c>
    </row>
    <row r="16" spans="1:12" s="167" customFormat="1" ht="16.5" hidden="1" customHeight="1">
      <c r="A16" s="163"/>
      <c r="B16" s="164"/>
      <c r="C16" s="165"/>
      <c r="D16" s="165"/>
      <c r="E16" s="165">
        <f>IF(E8&gt;E2,0,E15)</f>
        <v>118</v>
      </c>
      <c r="F16" s="165">
        <f>IF(F8&gt;E2,0,F15)</f>
        <v>118</v>
      </c>
      <c r="G16" s="165">
        <f>IF(G8&gt;E2,0,G15)</f>
        <v>118</v>
      </c>
      <c r="H16" s="165">
        <f>IF(H8&gt;E2,0,H15)</f>
        <v>118</v>
      </c>
      <c r="I16" s="166">
        <f>IF(I8&gt;E2,0,I15)</f>
        <v>118</v>
      </c>
    </row>
    <row r="17" spans="1:11" s="5" customFormat="1" ht="16.5" hidden="1" customHeight="1">
      <c r="A17" s="168"/>
      <c r="B17" s="32"/>
      <c r="C17" s="159">
        <f>IF(C15=0,DATEDIF(C$8,E2,"d"),0)</f>
        <v>0</v>
      </c>
      <c r="D17" s="159">
        <f>IF(D15=0,DATEDIF(D$8,E2,"d"),0)</f>
        <v>0</v>
      </c>
      <c r="E17" s="159">
        <f>IF(E16=0,DATEDIF(E$8,E2,"d"),0)</f>
        <v>0</v>
      </c>
      <c r="F17" s="159">
        <f>IF(F15=0,DATEDIF(F$8,E2,"d"),0)</f>
        <v>0</v>
      </c>
      <c r="G17" s="159">
        <f>IF(G15=0,DATEDIF(G$8,E2,"d"),0)</f>
        <v>0</v>
      </c>
      <c r="H17" s="159">
        <f>IF(H15=0,DATEDIF(H$8,E2,"d"),0)</f>
        <v>0</v>
      </c>
      <c r="I17" s="160">
        <f>IF(I15=0,DATEDIF(I$8,E2,"d"),0)</f>
        <v>0</v>
      </c>
    </row>
    <row r="18" spans="1:11" s="167" customFormat="1" ht="16.5" hidden="1" customHeight="1">
      <c r="A18" s="163"/>
      <c r="B18" s="164"/>
      <c r="C18" s="165">
        <f>DATEDIF(C$8,F2,"y")</f>
        <v>118</v>
      </c>
      <c r="D18" s="165">
        <f>DATEDIF(D$8,F2,"y")</f>
        <v>118</v>
      </c>
      <c r="E18" s="165">
        <f>DATEDIF(E$8,F2,"y")</f>
        <v>118</v>
      </c>
      <c r="F18" s="165">
        <f>DATEDIF(F$8,F2,"y")</f>
        <v>118</v>
      </c>
      <c r="G18" s="165">
        <f>DATEDIF(G$8,F2,"y")</f>
        <v>118</v>
      </c>
      <c r="H18" s="165">
        <f>DATEDIF(H$8,F2,"y")</f>
        <v>118</v>
      </c>
      <c r="I18" s="166">
        <f>DATEDIF(I$8,F2,"y")</f>
        <v>118</v>
      </c>
      <c r="K18" s="405">
        <f>COUNTIF(E18:I18,"=25")</f>
        <v>0</v>
      </c>
    </row>
    <row r="19" spans="1:11" s="2" customFormat="1" ht="16.5" hidden="1" customHeight="1">
      <c r="A19" s="156"/>
      <c r="B19" s="32"/>
      <c r="C19" s="159">
        <f>IF(C8=DATE(1900,1,0),0,C15)</f>
        <v>0</v>
      </c>
      <c r="D19" s="159">
        <f t="shared" ref="D19:I19" si="3">IF(D8=DATE(1900,1,0),0,D15)</f>
        <v>0</v>
      </c>
      <c r="E19" s="159">
        <f>IF(E8=DATE(1900,1,0),0,E16)</f>
        <v>0</v>
      </c>
      <c r="F19" s="159">
        <f t="shared" si="3"/>
        <v>0</v>
      </c>
      <c r="G19" s="159">
        <f t="shared" si="3"/>
        <v>0</v>
      </c>
      <c r="H19" s="159">
        <f t="shared" si="3"/>
        <v>0</v>
      </c>
      <c r="I19" s="160">
        <f t="shared" si="3"/>
        <v>0</v>
      </c>
    </row>
    <row r="20" spans="1:11" s="2" customFormat="1" ht="16.5" hidden="1" customHeight="1">
      <c r="A20" s="156"/>
      <c r="B20" s="32"/>
      <c r="C20" s="159">
        <f t="shared" ref="C20:I20" si="4">IF(C8=DATE(1900,1,0),0,C17)</f>
        <v>0</v>
      </c>
      <c r="D20" s="159">
        <f t="shared" si="4"/>
        <v>0</v>
      </c>
      <c r="E20" s="159">
        <f t="shared" si="4"/>
        <v>0</v>
      </c>
      <c r="F20" s="159">
        <f t="shared" si="4"/>
        <v>0</v>
      </c>
      <c r="G20" s="159">
        <f t="shared" si="4"/>
        <v>0</v>
      </c>
      <c r="H20" s="159">
        <f t="shared" si="4"/>
        <v>0</v>
      </c>
      <c r="I20" s="160">
        <f t="shared" si="4"/>
        <v>0</v>
      </c>
    </row>
    <row r="21" spans="1:11" s="2" customFormat="1" ht="16.5" hidden="1" customHeight="1">
      <c r="A21" s="156"/>
      <c r="B21" s="157"/>
      <c r="C21" s="30">
        <f>IF(C19=0,0,C19)</f>
        <v>0</v>
      </c>
      <c r="D21" s="30">
        <f>IF(D19=0,0,D19)</f>
        <v>0</v>
      </c>
      <c r="E21" s="30">
        <f>IF(E19+E20=0,0,IF(E19&gt;E20,E19,1))</f>
        <v>0</v>
      </c>
      <c r="F21" s="30">
        <f>IF(F19+F20=0,0,IF(F19&gt;F20,F19,1))</f>
        <v>0</v>
      </c>
      <c r="G21" s="30">
        <f>IF(G19+G20=0,0,IF(G19&gt;G20,G19,1))</f>
        <v>0</v>
      </c>
      <c r="H21" s="30">
        <f>IF(H19+H20=0,0,IF(H19&gt;H20,H19,1))</f>
        <v>0</v>
      </c>
      <c r="I21" s="155">
        <f>IF(I19+I20=0,0,IF(I19&gt;I20,I19,1))</f>
        <v>0</v>
      </c>
    </row>
    <row r="22" spans="1:11" s="2" customFormat="1" ht="16.5" hidden="1" customHeight="1">
      <c r="A22" s="158"/>
      <c r="B22" s="157"/>
      <c r="C22" s="30">
        <f>IF(C21=0,0,C21)</f>
        <v>0</v>
      </c>
      <c r="D22" s="30">
        <f t="shared" ref="D22:I22" si="5">IF(D21=0,0,D21)</f>
        <v>0</v>
      </c>
      <c r="E22" s="30">
        <f t="shared" si="5"/>
        <v>0</v>
      </c>
      <c r="F22" s="30">
        <f t="shared" si="5"/>
        <v>0</v>
      </c>
      <c r="G22" s="30">
        <f t="shared" si="5"/>
        <v>0</v>
      </c>
      <c r="H22" s="30">
        <f t="shared" si="5"/>
        <v>0</v>
      </c>
      <c r="I22" s="155">
        <f t="shared" si="5"/>
        <v>0</v>
      </c>
    </row>
    <row r="23" spans="1:11" s="2" customFormat="1" ht="16.5" hidden="1">
      <c r="A23" s="156"/>
      <c r="B23" s="157"/>
      <c r="C23" s="24">
        <f>IF(AND(C21&gt;0,C21&lt;18),F223,IF(AND(C21&gt;17,D21&gt;17),D223,IF(AND(C21&gt;17,D21=17),C223,IF(AND(C21&gt;17,D21=16),C223,IF(AND(C21&gt;17,D21=15),C223,C223)))))</f>
        <v>409</v>
      </c>
      <c r="D23" s="24">
        <f>IF(AND(D21&gt;17,C21&lt;18),C223,IF(D21&gt;17,D223,IF(D21=17,F223,IF(D21=16,F223,IF(D21=15,F223,0)))))</f>
        <v>0</v>
      </c>
      <c r="E23" s="24">
        <f>IF(E21&lt;1,0,IF(E21&lt;6,H223,IF(E21&lt;14,G223,IF(E21&lt;18,F223,E223))))</f>
        <v>0</v>
      </c>
      <c r="F23" s="24">
        <f>IF(F21&lt;1,0,IF(F21&lt;6,H223,IF(F21&lt;14,G223,IF(F21&lt;18,F223,E223))))</f>
        <v>0</v>
      </c>
      <c r="G23" s="24">
        <f>IF(G21&lt;1,0,IF(G21&lt;6,H223,IF(G21&lt;14,G223,IF(G21&lt;18,F223,E223))))</f>
        <v>0</v>
      </c>
      <c r="H23" s="24">
        <f>IF(H21&lt;1,0,IF(H21&lt;6,H223,IF(H21&lt;14,G223,IF(H21&lt;18,F223,E223))))</f>
        <v>0</v>
      </c>
      <c r="I23" s="53">
        <f>IF(I21&lt;1,0,IF(I21&lt;6,H223,IF(I21&lt;14,G223,IF(I21&lt;18,F223,E223))))</f>
        <v>0</v>
      </c>
    </row>
    <row r="24" spans="1:11" s="2" customFormat="1" ht="16.5" hidden="1">
      <c r="A24" s="156"/>
      <c r="B24" s="157"/>
      <c r="C24" s="24">
        <f>IF(C18&lt;18,F223,IF(AND(C18&gt;17,D18&gt;17,D18&lt;116),D223,IF(AND(C18&gt;17,D18=17),C223,IF(AND(C18&gt;17,D18=16),C223,IF(AND(C18&gt;17,D18=15),C223,C223)))))</f>
        <v>409</v>
      </c>
      <c r="D24" s="24">
        <f>IF(AND(D18&gt;17,C18&lt;18),C223,IF(D18&gt;17,D223,IF(D18=17,F223,IF(D18=16,F223,IF(D18=15,F223,0)))))</f>
        <v>368</v>
      </c>
      <c r="E24" s="24">
        <f>IF(E18&lt;1,0,IF(E18&lt;6,H223,IF(E18&lt;14,G223,IF(E18&lt;18,F223,E223))))</f>
        <v>327</v>
      </c>
      <c r="F24" s="24">
        <f>IF(F18&lt;1,0,IF(F18&lt;6,H223,IF(F18&lt;14,G223,IF(F18&lt;18,F223,E223))))</f>
        <v>327</v>
      </c>
      <c r="G24" s="24">
        <f>IF(G18&lt;1,0,IF(G18&lt;6,H223,IF(G18&lt;14,G223,IF(G18&lt;18,F223,E223))))</f>
        <v>327</v>
      </c>
      <c r="H24" s="24">
        <f>IF(H18&lt;1,0,IF(H18&lt;6,H223,IF(H18&lt;14,G223,IF(H18&lt;18,F223,E223))))</f>
        <v>327</v>
      </c>
      <c r="I24" s="53">
        <f>IF(I18&lt;1,0,IF(I18&lt;6,H223,IF(I18&lt;14,G223,IF(I18&lt;18,F223,E223))))</f>
        <v>327</v>
      </c>
    </row>
    <row r="25" spans="1:11" s="2" customFormat="1" ht="16.5" hidden="1">
      <c r="A25" s="156"/>
      <c r="B25" s="157"/>
      <c r="C25" s="24">
        <f>IF(C24&lt;&gt;C23,C24/H2*C13,C23)</f>
        <v>409</v>
      </c>
      <c r="D25" s="24">
        <f>IF(D24&lt;&gt;D23,D24/H2*D13,D23)</f>
        <v>12.266666666666667</v>
      </c>
      <c r="E25" s="24">
        <f>IF(E24&gt;E23,E24/H2*E14,E23)</f>
        <v>10.9</v>
      </c>
      <c r="F25" s="24">
        <f>IF(F24&gt;F23,F24/H2*F14,F23)</f>
        <v>10.9</v>
      </c>
      <c r="G25" s="24">
        <f>IF(G24&gt;G23,G24/H2*G14,G23)</f>
        <v>10.9</v>
      </c>
      <c r="H25" s="24">
        <f>IF(H24&gt;H23,H24/H2*H14,H23)</f>
        <v>10.9</v>
      </c>
      <c r="I25" s="53">
        <f>IF(I24&gt;I23,I24/H2*I14,I23)</f>
        <v>10.9</v>
      </c>
    </row>
    <row r="26" spans="1:11" s="2" customFormat="1" ht="16.5" hidden="1">
      <c r="A26" s="156"/>
      <c r="B26" s="157"/>
      <c r="C26" s="24">
        <f>IF(C24&lt;&gt;C23,C23/H2*C11,C23)</f>
        <v>409</v>
      </c>
      <c r="D26" s="24">
        <f>IF(D24&lt;&gt;D23,D23/H2*D11,D23)</f>
        <v>0</v>
      </c>
      <c r="E26" s="24">
        <f>IF(E24&gt;E23,E23/H2*E11,E23)</f>
        <v>0</v>
      </c>
      <c r="F26" s="24">
        <f>IF(F24&gt;F23,F23/H2*F11,F23)</f>
        <v>0</v>
      </c>
      <c r="G26" s="24">
        <f>IF(G24&gt;G23,G23/H2*G11,G23)</f>
        <v>0</v>
      </c>
      <c r="H26" s="24">
        <f>IF(H24&gt;H23,H23/H2*H11,H23)</f>
        <v>0</v>
      </c>
      <c r="I26" s="53">
        <f>IF(I24&gt;I23,I23/H2*I11,I23)</f>
        <v>0</v>
      </c>
    </row>
    <row r="27" spans="1:11" s="2" customFormat="1" ht="16.5" hidden="1">
      <c r="A27" s="156"/>
      <c r="B27" s="157"/>
      <c r="C27" s="24">
        <f t="shared" ref="C27:D27" si="6">IF(C26=C25,C23,C25+C26)</f>
        <v>409</v>
      </c>
      <c r="D27" s="24">
        <f t="shared" si="6"/>
        <v>12.266666666666667</v>
      </c>
      <c r="E27" s="24">
        <f t="shared" ref="E27:I27" si="7">IF(E26=E25,E23,E25+E26)</f>
        <v>10.9</v>
      </c>
      <c r="F27" s="24">
        <f t="shared" si="7"/>
        <v>10.9</v>
      </c>
      <c r="G27" s="24">
        <f t="shared" si="7"/>
        <v>10.9</v>
      </c>
      <c r="H27" s="24">
        <f t="shared" si="7"/>
        <v>10.9</v>
      </c>
      <c r="I27" s="53">
        <f t="shared" si="7"/>
        <v>10.9</v>
      </c>
    </row>
    <row r="28" spans="1:11" s="2" customFormat="1" ht="16.5" hidden="1">
      <c r="A28" s="156"/>
      <c r="B28" s="157"/>
      <c r="C28" s="24">
        <f>C27</f>
        <v>409</v>
      </c>
      <c r="D28" s="24">
        <f t="shared" ref="D28" si="8">IF(D23=0,0,D27)</f>
        <v>0</v>
      </c>
      <c r="E28" s="24">
        <f t="shared" ref="E28:I28" si="9">IF(E23=0,0,E27)</f>
        <v>0</v>
      </c>
      <c r="F28" s="24">
        <f t="shared" si="9"/>
        <v>0</v>
      </c>
      <c r="G28" s="24">
        <f t="shared" si="9"/>
        <v>0</v>
      </c>
      <c r="H28" s="24">
        <f t="shared" si="9"/>
        <v>0</v>
      </c>
      <c r="I28" s="53">
        <f t="shared" si="9"/>
        <v>0</v>
      </c>
    </row>
    <row r="29" spans="1:11" s="2" customFormat="1" ht="16.5" hidden="1">
      <c r="A29" s="156"/>
      <c r="B29" s="157"/>
      <c r="C29" s="24">
        <f>IF(C15&lt;15,0,C28)</f>
        <v>409</v>
      </c>
      <c r="D29" s="24"/>
      <c r="E29" s="24">
        <f>IF(E18=25,E28/H2*E10,E28)</f>
        <v>0</v>
      </c>
      <c r="F29" s="24">
        <f>IF(F18=25,F28/H2*F10,F28)</f>
        <v>0</v>
      </c>
      <c r="G29" s="24">
        <f>IF(G18=25,G28/H2*G10,G28)</f>
        <v>0</v>
      </c>
      <c r="H29" s="24">
        <f>IF(H18=25,H28/H2*H10,H28)</f>
        <v>0</v>
      </c>
      <c r="I29" s="53">
        <f>IF(I18=25,I28/H2*I10,I28)</f>
        <v>0</v>
      </c>
    </row>
    <row r="30" spans="1:11" s="2" customFormat="1" ht="16.5" hidden="1">
      <c r="A30" s="156"/>
      <c r="B30" s="157"/>
      <c r="C30" s="24"/>
      <c r="D30" s="24"/>
      <c r="E30" s="24">
        <f>IF(E16&gt;24,0,E29)</f>
        <v>0</v>
      </c>
      <c r="F30" s="24">
        <f>IF(F15&gt;24,0,F29)</f>
        <v>0</v>
      </c>
      <c r="G30" s="24">
        <f>IF(G15&gt;24,0,G29)</f>
        <v>0</v>
      </c>
      <c r="H30" s="24">
        <f>IF(H15&gt;24,0,H29)</f>
        <v>0</v>
      </c>
      <c r="I30" s="53">
        <f>IF(I15&gt;24,0,I29)</f>
        <v>0</v>
      </c>
    </row>
    <row r="31" spans="1:11" s="2" customFormat="1" ht="16.5" hidden="1">
      <c r="A31" s="156"/>
      <c r="B31" s="157"/>
      <c r="C31" s="3"/>
      <c r="D31" s="3"/>
      <c r="E31" s="24">
        <f>ROUND(E30,0)</f>
        <v>0</v>
      </c>
      <c r="F31" s="24">
        <f>ROUND(F30,0)</f>
        <v>0</v>
      </c>
      <c r="G31" s="24">
        <f>ROUND(G30,0)</f>
        <v>0</v>
      </c>
      <c r="H31" s="24">
        <f>ROUND(H30,0)</f>
        <v>0</v>
      </c>
      <c r="I31" s="53">
        <f>ROUND(I30,0)</f>
        <v>0</v>
      </c>
    </row>
    <row r="32" spans="1:11" s="2" customFormat="1" ht="16.5" hidden="1">
      <c r="A32" s="156"/>
      <c r="B32" s="157"/>
      <c r="C32" s="45"/>
      <c r="D32" s="45"/>
      <c r="E32" s="45">
        <f>IF(E8&gt;E2,H223*E14/30,E31)</f>
        <v>0</v>
      </c>
      <c r="F32" s="45">
        <f>IF(F8&gt;E2,H223*F14/30,F31)</f>
        <v>0</v>
      </c>
      <c r="G32" s="45">
        <f>IF(G8&gt;E2,H223*G14/30,G31)</f>
        <v>0</v>
      </c>
      <c r="H32" s="45">
        <f>IF(H8&gt;E2,H223*H14/30,H31)</f>
        <v>0</v>
      </c>
      <c r="I32" s="270">
        <f>IF(I8&gt;E2,H223*I14/30,I31)</f>
        <v>0</v>
      </c>
    </row>
    <row r="33" spans="1:31" s="2" customFormat="1" ht="16.5" hidden="1">
      <c r="A33" s="156"/>
      <c r="B33" s="157"/>
      <c r="C33" s="24">
        <f>ROUND(C29,0)</f>
        <v>409</v>
      </c>
      <c r="D33" s="24">
        <f>ROUND(D28,0)</f>
        <v>0</v>
      </c>
      <c r="E33" s="24">
        <f>ROUND(E32,0)</f>
        <v>0</v>
      </c>
      <c r="F33" s="24">
        <f>ROUND(F32,0)</f>
        <v>0</v>
      </c>
      <c r="G33" s="24">
        <f>ROUND(G32,0)</f>
        <v>0</v>
      </c>
      <c r="H33" s="24">
        <f>ROUND(H32,0)</f>
        <v>0</v>
      </c>
      <c r="I33" s="53">
        <f>ROUND(I32,0)</f>
        <v>0</v>
      </c>
      <c r="J33" s="267"/>
      <c r="K33" s="267"/>
      <c r="L33" s="267"/>
      <c r="M33" s="267"/>
      <c r="N33" s="267"/>
      <c r="O33" s="267"/>
      <c r="P33" s="267"/>
      <c r="Q33" s="267"/>
      <c r="R33" s="267"/>
      <c r="S33" s="361">
        <f>COUNTIF(E33:I33,"&gt;0")</f>
        <v>0</v>
      </c>
    </row>
    <row r="34" spans="1:31" s="2" customFormat="1" ht="16.5">
      <c r="A34" s="156" t="s">
        <v>185</v>
      </c>
      <c r="B34" s="157"/>
      <c r="C34" s="23" t="str">
        <f>Zusatzeingaben!C34</f>
        <v>ja</v>
      </c>
      <c r="D34" s="23" t="str">
        <f>Zusatzeingaben!D34</f>
        <v>ja</v>
      </c>
      <c r="E34" s="23" t="str">
        <f>Zusatzeingaben!E34</f>
        <v>ja</v>
      </c>
      <c r="F34" s="23" t="str">
        <f>Zusatzeingaben!F34</f>
        <v>ja</v>
      </c>
      <c r="G34" s="23" t="str">
        <f>Zusatzeingaben!G34</f>
        <v>ja</v>
      </c>
      <c r="H34" s="23" t="str">
        <f>Zusatzeingaben!H34</f>
        <v>ja</v>
      </c>
      <c r="I34" s="83" t="str">
        <f>Zusatzeingaben!I34</f>
        <v>ja</v>
      </c>
      <c r="J34" s="267"/>
      <c r="K34" s="267"/>
      <c r="L34" s="267"/>
      <c r="M34" s="267"/>
      <c r="N34" s="267"/>
      <c r="O34" s="267"/>
      <c r="P34" s="267"/>
      <c r="Q34" s="267"/>
      <c r="R34" s="267"/>
      <c r="S34" s="361"/>
    </row>
    <row r="35" spans="1:31" s="2" customFormat="1" ht="20.100000000000001" customHeight="1" thickBot="1">
      <c r="A35" s="123" t="s">
        <v>39</v>
      </c>
      <c r="B35" s="34"/>
      <c r="C35" s="29" t="str">
        <f>Zusatzeingaben!C35</f>
        <v>ja</v>
      </c>
      <c r="D35" s="29" t="str">
        <f>Zusatzeingaben!D35</f>
        <v>ja</v>
      </c>
      <c r="E35" s="29" t="str">
        <f>Zusatzeingaben!E35</f>
        <v>ja</v>
      </c>
      <c r="F35" s="29" t="str">
        <f>Zusatzeingaben!F35</f>
        <v>ja</v>
      </c>
      <c r="G35" s="29" t="str">
        <f>Zusatzeingaben!G35</f>
        <v>ja</v>
      </c>
      <c r="H35" s="29" t="str">
        <f>Zusatzeingaben!H35</f>
        <v>ja</v>
      </c>
      <c r="I35" s="86" t="str">
        <f>Zusatzeingaben!I35</f>
        <v>ja</v>
      </c>
      <c r="J35" s="358"/>
    </row>
    <row r="36" spans="1:31" s="2" customFormat="1" ht="29.25" customHeight="1">
      <c r="A36" s="169" t="s">
        <v>102</v>
      </c>
      <c r="B36" s="629" t="s">
        <v>30</v>
      </c>
      <c r="C36" s="170"/>
      <c r="D36" s="170"/>
      <c r="E36" s="170"/>
      <c r="F36" s="170"/>
      <c r="G36" s="170"/>
      <c r="H36" s="170"/>
      <c r="I36" s="171"/>
    </row>
    <row r="37" spans="1:31" s="2" customFormat="1" ht="20.100000000000001" customHeight="1">
      <c r="A37" s="84" t="s">
        <v>97</v>
      </c>
      <c r="B37" s="22"/>
      <c r="C37" s="143">
        <f>Zusatzeingaben!C37</f>
        <v>0</v>
      </c>
      <c r="D37" s="143">
        <f>Zusatzeingaben!D37</f>
        <v>0</v>
      </c>
      <c r="E37" s="143">
        <f>Zusatzeingaben!E37</f>
        <v>0</v>
      </c>
      <c r="F37" s="144"/>
      <c r="G37" s="144"/>
      <c r="H37" s="144"/>
      <c r="I37" s="53"/>
    </row>
    <row r="38" spans="1:31" s="2" customFormat="1" ht="20.100000000000001" hidden="1" customHeight="1">
      <c r="A38" s="84"/>
      <c r="B38" s="22"/>
      <c r="C38" s="145">
        <f>C37-280</f>
        <v>-280</v>
      </c>
      <c r="D38" s="145">
        <f>D37-280</f>
        <v>-280</v>
      </c>
      <c r="E38" s="145">
        <f>E37-280</f>
        <v>-280</v>
      </c>
      <c r="F38" s="144"/>
      <c r="G38" s="144"/>
      <c r="H38" s="144"/>
      <c r="I38" s="53"/>
    </row>
    <row r="39" spans="1:31" s="2" customFormat="1" ht="20.100000000000001" hidden="1" customHeight="1">
      <c r="A39" s="84"/>
      <c r="B39" s="22"/>
      <c r="C39" s="145">
        <f>C38+85</f>
        <v>-195</v>
      </c>
      <c r="D39" s="145">
        <f>D38+85</f>
        <v>-195</v>
      </c>
      <c r="E39" s="145">
        <f>E38+85</f>
        <v>-195</v>
      </c>
      <c r="F39" s="144"/>
      <c r="G39" s="144"/>
      <c r="H39" s="144"/>
      <c r="I39" s="53"/>
    </row>
    <row r="40" spans="1:31" s="2" customFormat="1" ht="20.100000000000001" hidden="1" customHeight="1">
      <c r="A40" s="84"/>
      <c r="B40" s="22"/>
      <c r="C40" s="30">
        <f>C39-E2</f>
        <v>-43539</v>
      </c>
      <c r="D40" s="30">
        <f>D39-E2</f>
        <v>-43539</v>
      </c>
      <c r="E40" s="30">
        <f>E39-E2</f>
        <v>-43539</v>
      </c>
      <c r="F40" s="144"/>
      <c r="G40" s="144"/>
      <c r="H40" s="144"/>
      <c r="I40" s="53"/>
    </row>
    <row r="41" spans="1:31" s="2" customFormat="1" ht="20.100000000000001" hidden="1" customHeight="1">
      <c r="A41" s="84"/>
      <c r="B41" s="22"/>
      <c r="C41" s="30">
        <f>30-C40</f>
        <v>43569</v>
      </c>
      <c r="D41" s="30">
        <f>30-D40</f>
        <v>43569</v>
      </c>
      <c r="E41" s="30">
        <f>30-E40</f>
        <v>43569</v>
      </c>
      <c r="F41" s="144"/>
      <c r="G41" s="144"/>
      <c r="H41" s="144"/>
      <c r="I41" s="53"/>
    </row>
    <row r="42" spans="1:31" s="2" customFormat="1" ht="20.100000000000001" hidden="1" customHeight="1">
      <c r="A42" s="84"/>
      <c r="B42" s="22"/>
      <c r="C42" s="30">
        <f>IF(C41&gt;30,30,C41)</f>
        <v>30</v>
      </c>
      <c r="D42" s="30">
        <f>IF(D41&gt;30,30,D41)</f>
        <v>30</v>
      </c>
      <c r="E42" s="30">
        <f>IF(E41&gt;30,30,E41)</f>
        <v>30</v>
      </c>
      <c r="F42" s="144"/>
      <c r="G42" s="144"/>
      <c r="H42" s="144"/>
      <c r="I42" s="53"/>
    </row>
    <row r="43" spans="1:31" s="2" customFormat="1" ht="20.100000000000001" hidden="1" customHeight="1">
      <c r="A43" s="84"/>
      <c r="B43" s="22"/>
      <c r="C43" s="30">
        <f>IF(C39&gt;E2,G2-C40,C42)</f>
        <v>30</v>
      </c>
      <c r="D43" s="30">
        <f>IF(D39&gt;E2,G2-D40,D42)</f>
        <v>30</v>
      </c>
      <c r="E43" s="30">
        <f>IF(E39&gt;E2,G2-E40,E42)</f>
        <v>30</v>
      </c>
      <c r="F43" s="144"/>
      <c r="G43" s="144"/>
      <c r="H43" s="144"/>
      <c r="I43" s="53"/>
    </row>
    <row r="44" spans="1:31" s="2" customFormat="1" ht="18" hidden="1" customHeight="1">
      <c r="A44" s="84"/>
      <c r="B44" s="22"/>
      <c r="C44" s="146">
        <f>IF(C42&gt;0,C33*17/100,0)*C43/30</f>
        <v>69.53</v>
      </c>
      <c r="D44" s="146">
        <f>IF(D42&gt;0,D33*17/100,0)*D43/30</f>
        <v>0</v>
      </c>
      <c r="E44" s="146">
        <f>IF(E42&gt;0,E33*17/100,0)*E43/30</f>
        <v>0</v>
      </c>
      <c r="F44" s="24"/>
      <c r="G44" s="24"/>
      <c r="H44" s="24"/>
      <c r="I44" s="53"/>
    </row>
    <row r="45" spans="1:31" s="2" customFormat="1" ht="18" hidden="1" customHeight="1">
      <c r="A45" s="84"/>
      <c r="B45" s="22"/>
      <c r="C45" s="146">
        <f>IF(C37&lt;F2,C44*DAY(C37)/30,C44)</f>
        <v>0</v>
      </c>
      <c r="D45" s="146">
        <f>IF(D37&lt;F2,D44*DAY(D37)/30,D44)</f>
        <v>0</v>
      </c>
      <c r="E45" s="146">
        <f>IF(E37&lt;F2,E44*DAY(E37)/30,E44)</f>
        <v>0</v>
      </c>
      <c r="F45" s="24"/>
      <c r="G45" s="24"/>
      <c r="H45" s="24"/>
      <c r="I45" s="53"/>
    </row>
    <row r="46" spans="1:31" s="2" customFormat="1" ht="18" customHeight="1">
      <c r="A46" s="333" t="s">
        <v>12</v>
      </c>
      <c r="B46" s="649">
        <f>IF(C46="ja",AE90,0)</f>
        <v>0</v>
      </c>
      <c r="C46" s="545" t="str">
        <f>Zusatzeingaben!C46</f>
        <v>Ja</v>
      </c>
      <c r="D46" s="162"/>
      <c r="E46" s="161"/>
      <c r="F46" s="161"/>
      <c r="G46" s="161"/>
      <c r="H46" s="161"/>
      <c r="I46" s="172"/>
      <c r="V46" s="3"/>
      <c r="Y46" s="3"/>
      <c r="AA46" s="3"/>
      <c r="AC46" s="3"/>
    </row>
    <row r="47" spans="1:31" s="2" customFormat="1" ht="18" hidden="1" customHeight="1">
      <c r="A47" s="333"/>
      <c r="B47" s="362"/>
      <c r="C47" s="25"/>
      <c r="D47" s="162"/>
      <c r="E47" s="161"/>
      <c r="F47" s="161"/>
      <c r="G47" s="161"/>
      <c r="H47" s="161"/>
      <c r="I47" s="172"/>
      <c r="J47" s="570"/>
      <c r="K47" s="384" t="s">
        <v>117</v>
      </c>
      <c r="L47" s="377"/>
      <c r="M47" s="376"/>
      <c r="N47" s="384" t="s">
        <v>118</v>
      </c>
      <c r="O47" s="377"/>
      <c r="P47" s="376"/>
      <c r="Q47" s="384" t="s">
        <v>119</v>
      </c>
      <c r="R47" s="377"/>
      <c r="S47" s="376"/>
      <c r="T47" s="384" t="s">
        <v>120</v>
      </c>
      <c r="U47" s="384"/>
      <c r="V47" s="2060" t="s">
        <v>121</v>
      </c>
      <c r="W47" s="2061"/>
      <c r="X47" s="388"/>
      <c r="Y47" s="376"/>
      <c r="Z47" s="377" t="s">
        <v>122</v>
      </c>
      <c r="AA47" s="376"/>
      <c r="AB47" s="377" t="s">
        <v>123</v>
      </c>
      <c r="AC47" s="376"/>
      <c r="AD47" s="377" t="s">
        <v>124</v>
      </c>
      <c r="AE47" s="367">
        <f>IF(OR(K48&gt;0,N48&gt;0,Q48&gt;0,T48&gt;0,W48&gt;0,Z48&gt;0,AB48&gt;0,AD48&gt;0),1,0)</f>
        <v>0</v>
      </c>
    </row>
    <row r="48" spans="1:31" s="2" customFormat="1" ht="18" hidden="1" customHeight="1">
      <c r="A48" s="84"/>
      <c r="B48" s="22"/>
      <c r="C48" s="146"/>
      <c r="D48" s="162"/>
      <c r="E48" s="159">
        <f>IF(E$8&gt;$E$2,"",DATEDIF(E$8,$E$2,"y"))</f>
        <v>118</v>
      </c>
      <c r="F48" s="159">
        <f>IF(F$8&gt;$E$2,"",DATEDIF(F$8,$E$2,"y"))</f>
        <v>118</v>
      </c>
      <c r="G48" s="159">
        <f>IF(G$8&gt;$E$2,"",DATEDIF(G$8,$E$2,"y"))</f>
        <v>118</v>
      </c>
      <c r="H48" s="159">
        <f>IF(H$8&gt;$E$2,"",DATEDIF(H$8,$E$2,"y"))</f>
        <v>118</v>
      </c>
      <c r="I48" s="160">
        <f>IF(I$8&gt;$E$2,"",DATEDIF(I$8,$E$2,"y"))</f>
        <v>118</v>
      </c>
      <c r="J48" s="571">
        <f t="shared" ref="J48:J75" si="10">COUNTIF(E48:I48,"&lt;7")</f>
        <v>0</v>
      </c>
      <c r="K48" s="64">
        <f>IF(J48=1,C$23*36%,0)</f>
        <v>0</v>
      </c>
      <c r="L48" s="385">
        <f t="shared" ref="L48:L78" si="11">IF(OR(Q48&gt;0,Z48&gt;0,AB48&gt;0,AD48&gt;0),0,K48)</f>
        <v>0</v>
      </c>
      <c r="M48" s="391">
        <f>SUMPRODUCT((E48:I48&gt;6)*(E48:I48&lt;18))</f>
        <v>0</v>
      </c>
      <c r="N48" s="64">
        <f>IF(AND(K48=0,M48=1),C$23*12%,0)</f>
        <v>0</v>
      </c>
      <c r="O48" s="385">
        <f>IF(OR(Z48&gt;0,AB48&gt;0),0,N48)</f>
        <v>0</v>
      </c>
      <c r="P48" s="399">
        <f>COUNTIF(E48:I48,"&lt;16")</f>
        <v>0</v>
      </c>
      <c r="Q48" s="64">
        <f t="shared" ref="Q48:Q78" si="12">IF(P48=2,C$23*36%,0)</f>
        <v>0</v>
      </c>
      <c r="R48" s="385">
        <f>IF(OR(Z48&gt;0,AB48&gt;0,AD48&gt;0),0,Q48)</f>
        <v>0</v>
      </c>
      <c r="S48" s="380">
        <f>SUMPRODUCT((E48:I48&gt;15)*(E48:I48&lt;18))</f>
        <v>0</v>
      </c>
      <c r="T48" s="382">
        <f t="shared" ref="T48:T78" si="13">IF(S48=2,C$23*24%,0)</f>
        <v>0</v>
      </c>
      <c r="U48" s="64">
        <f>IF(OR(Z48&gt;0,AB48&gt;0,AD48&gt;0),0,T48)</f>
        <v>0</v>
      </c>
      <c r="V48" s="174">
        <f>SUMPRODUCT((E48:I48&gt;6)*(E48:I48&lt;16))+SUMPRODUCT((E48:I48&gt;15)*(E48:I48&lt;18))</f>
        <v>0</v>
      </c>
      <c r="W48" s="64">
        <f t="shared" ref="W48:W78" si="14">IF(AND(Q48=0,V48=2),C$23*24%,0)</f>
        <v>0</v>
      </c>
      <c r="X48" s="385">
        <f>IF(OR(T48&gt;0,Z48&gt;0,AB48&gt;0,AD48&gt;0),0,W48)</f>
        <v>0</v>
      </c>
      <c r="Y48" s="112">
        <f>COUNTIF(E48:I48,"&lt;18")</f>
        <v>0</v>
      </c>
      <c r="Z48" s="116">
        <f t="shared" ref="Z48:Z78" si="15">IF(Y48=3,C$23*36%,0)</f>
        <v>0</v>
      </c>
      <c r="AA48" s="112">
        <f>COUNTIF(E48:I48,"&lt;18")</f>
        <v>0</v>
      </c>
      <c r="AB48" s="116">
        <f t="shared" ref="AB48:AB78" si="16">IF(AA48=4,C$23*48%,0)</f>
        <v>0</v>
      </c>
      <c r="AC48" s="112">
        <f>COUNTIF(E48:I48,"&lt;18")</f>
        <v>0</v>
      </c>
      <c r="AD48" s="116">
        <f t="shared" ref="AD48:AD78" si="17">IF(AC48=5,C$23*60%,0)</f>
        <v>0</v>
      </c>
      <c r="AE48" s="363"/>
    </row>
    <row r="49" spans="1:30" s="2" customFormat="1" ht="18" hidden="1" customHeight="1">
      <c r="A49" s="84"/>
      <c r="B49" s="22"/>
      <c r="C49" s="146"/>
      <c r="D49" s="162"/>
      <c r="E49" s="159">
        <f>IF(E8&gt;$E$2+1,"",DATEDIF(E8,$E$2+1,"y"))</f>
        <v>118</v>
      </c>
      <c r="F49" s="159">
        <f>IF(F8&gt;$E$2+1,"",DATEDIF(F8,$E$2+1,"y"))</f>
        <v>118</v>
      </c>
      <c r="G49" s="159">
        <f>IF(G8&gt;$E$2+1,"",DATEDIF(G8,$E$2+1,"y"))</f>
        <v>118</v>
      </c>
      <c r="H49" s="159">
        <f>IF(H8&gt;$E$2+1,"",DATEDIF(H8,$E$2+1,"y"))</f>
        <v>118</v>
      </c>
      <c r="I49" s="160">
        <f>IF(I8&gt;$E$2+1,"",DATEDIF(I8,$E$2+1,"y"))</f>
        <v>118</v>
      </c>
      <c r="J49" s="571">
        <f t="shared" si="10"/>
        <v>0</v>
      </c>
      <c r="K49" s="64">
        <f t="shared" ref="K49:K78" si="18">IF(J49=1,C$23*36%,0)</f>
        <v>0</v>
      </c>
      <c r="L49" s="385">
        <f t="shared" si="11"/>
        <v>0</v>
      </c>
      <c r="M49" s="391">
        <f t="shared" ref="M49:M75" si="19">SUMPRODUCT((E49:I49&gt;6)*(E49:I49&lt;18))</f>
        <v>0</v>
      </c>
      <c r="N49" s="64">
        <f t="shared" ref="N49:N78" si="20">IF(AND(K49=0,M49=1),C$23*12%,0)</f>
        <v>0</v>
      </c>
      <c r="O49" s="385">
        <f t="shared" ref="O49:O78" si="21">IF(OR(Z49&gt;0,AB49&gt;0),0,N49)</f>
        <v>0</v>
      </c>
      <c r="P49" s="399">
        <f t="shared" ref="P49:P75" si="22">COUNTIF(E49:I49,"&lt;16")</f>
        <v>0</v>
      </c>
      <c r="Q49" s="64">
        <f t="shared" si="12"/>
        <v>0</v>
      </c>
      <c r="R49" s="385">
        <f t="shared" ref="R49:R78" si="23">IF(OR(Z49&gt;0,AB49&gt;0,AD49&gt;0),0,Q49)</f>
        <v>0</v>
      </c>
      <c r="S49" s="380">
        <f t="shared" ref="S49:S75" si="24">SUMPRODUCT((E49:I49&gt;15)*(E49:I49&lt;18))</f>
        <v>0</v>
      </c>
      <c r="T49" s="383">
        <f t="shared" si="13"/>
        <v>0</v>
      </c>
      <c r="U49" s="64">
        <f t="shared" ref="U49:U78" si="25">IF(OR(Z49&gt;0,AB49&gt;0,AD49&gt;0),0,T49)</f>
        <v>0</v>
      </c>
      <c r="V49" s="174">
        <f t="shared" ref="V49:V75" si="26">SUMPRODUCT((E49:I49&gt;6)*(E49:I49&lt;16))+SUMPRODUCT((E49:I49&gt;15)*(E49:I49&lt;18))</f>
        <v>0</v>
      </c>
      <c r="W49" s="64">
        <f t="shared" si="14"/>
        <v>0</v>
      </c>
      <c r="X49" s="385">
        <f t="shared" ref="X49:X78" si="27">IF(OR(T49&gt;0,Z49&gt;0,AB49&gt;0,AD49&gt;0),0,W49)</f>
        <v>0</v>
      </c>
      <c r="Y49" s="79">
        <f t="shared" ref="Y49:Y75" si="28">COUNTIF(E49:I49,"&lt;18")</f>
        <v>0</v>
      </c>
      <c r="Z49" s="53">
        <f t="shared" si="15"/>
        <v>0</v>
      </c>
      <c r="AA49" s="79">
        <f t="shared" ref="AA49:AA75" si="29">COUNTIF(E49:I49,"&lt;18")</f>
        <v>0</v>
      </c>
      <c r="AB49" s="53">
        <f t="shared" si="16"/>
        <v>0</v>
      </c>
      <c r="AC49" s="79">
        <f t="shared" ref="AC49:AC75" si="30">COUNTIF(E49:I49,"&lt;18")</f>
        <v>0</v>
      </c>
      <c r="AD49" s="53">
        <f t="shared" si="17"/>
        <v>0</v>
      </c>
    </row>
    <row r="50" spans="1:30" s="2" customFormat="1" ht="18" hidden="1" customHeight="1">
      <c r="A50" s="84"/>
      <c r="B50" s="22"/>
      <c r="C50" s="146"/>
      <c r="D50" s="162"/>
      <c r="E50" s="159">
        <f>IF(E8&gt;$E$2+2,"",DATEDIF(E8,$E$2+2,"y"))</f>
        <v>118</v>
      </c>
      <c r="F50" s="159">
        <f>IF(F8&gt;$E$2+2,"",DATEDIF(F8,$E$2+2,"y"))</f>
        <v>118</v>
      </c>
      <c r="G50" s="159">
        <f>IF(G8&gt;$E$2+2,"",DATEDIF(G8,$E$2+2,"y"))</f>
        <v>118</v>
      </c>
      <c r="H50" s="159">
        <f>IF(H8&gt;$E$2+2,"",DATEDIF(H8,$E$2+2,"y"))</f>
        <v>118</v>
      </c>
      <c r="I50" s="160">
        <f>IF(I8&gt;$E$2+2,"",DATEDIF(I8,$E$2+2,"y"))</f>
        <v>118</v>
      </c>
      <c r="J50" s="571">
        <f t="shared" si="10"/>
        <v>0</v>
      </c>
      <c r="K50" s="64">
        <f t="shared" si="18"/>
        <v>0</v>
      </c>
      <c r="L50" s="385">
        <f t="shared" si="11"/>
        <v>0</v>
      </c>
      <c r="M50" s="391">
        <f t="shared" si="19"/>
        <v>0</v>
      </c>
      <c r="N50" s="64">
        <f t="shared" si="20"/>
        <v>0</v>
      </c>
      <c r="O50" s="385">
        <f t="shared" si="21"/>
        <v>0</v>
      </c>
      <c r="P50" s="399">
        <f t="shared" si="22"/>
        <v>0</v>
      </c>
      <c r="Q50" s="64">
        <f t="shared" si="12"/>
        <v>0</v>
      </c>
      <c r="R50" s="385">
        <f t="shared" si="23"/>
        <v>0</v>
      </c>
      <c r="S50" s="380">
        <f t="shared" si="24"/>
        <v>0</v>
      </c>
      <c r="T50" s="383">
        <f t="shared" si="13"/>
        <v>0</v>
      </c>
      <c r="U50" s="64">
        <f t="shared" si="25"/>
        <v>0</v>
      </c>
      <c r="V50" s="174">
        <f t="shared" si="26"/>
        <v>0</v>
      </c>
      <c r="W50" s="64">
        <f t="shared" si="14"/>
        <v>0</v>
      </c>
      <c r="X50" s="385">
        <f t="shared" si="27"/>
        <v>0</v>
      </c>
      <c r="Y50" s="79">
        <f t="shared" si="28"/>
        <v>0</v>
      </c>
      <c r="Z50" s="53">
        <f t="shared" si="15"/>
        <v>0</v>
      </c>
      <c r="AA50" s="79">
        <f t="shared" si="29"/>
        <v>0</v>
      </c>
      <c r="AB50" s="53">
        <f t="shared" si="16"/>
        <v>0</v>
      </c>
      <c r="AC50" s="79">
        <f t="shared" si="30"/>
        <v>0</v>
      </c>
      <c r="AD50" s="53">
        <f t="shared" si="17"/>
        <v>0</v>
      </c>
    </row>
    <row r="51" spans="1:30" s="2" customFormat="1" ht="18" hidden="1" customHeight="1">
      <c r="A51" s="84"/>
      <c r="B51" s="22"/>
      <c r="C51" s="146"/>
      <c r="D51" s="162"/>
      <c r="E51" s="159">
        <f>IF(E8&gt;$E$2+3,"",DATEDIF(E8,$E$2+3,"y"))</f>
        <v>118</v>
      </c>
      <c r="F51" s="159">
        <f>IF(F8&gt;$E$2+3,"",DATEDIF(F8,$E$2+3,"y"))</f>
        <v>118</v>
      </c>
      <c r="G51" s="159">
        <f>IF(G8&gt;$E$2+3,"",DATEDIF(G8,$E$2+3,"y"))</f>
        <v>118</v>
      </c>
      <c r="H51" s="159">
        <f>IF(H8&gt;$E$2+3,"",DATEDIF(H8,$E$2+3,"y"))</f>
        <v>118</v>
      </c>
      <c r="I51" s="160">
        <f>IF(I8&gt;$E$2+3,"",DATEDIF(I8,$E$2+3,"y"))</f>
        <v>118</v>
      </c>
      <c r="J51" s="571">
        <f t="shared" si="10"/>
        <v>0</v>
      </c>
      <c r="K51" s="64">
        <f t="shared" si="18"/>
        <v>0</v>
      </c>
      <c r="L51" s="385">
        <f t="shared" si="11"/>
        <v>0</v>
      </c>
      <c r="M51" s="391">
        <f t="shared" si="19"/>
        <v>0</v>
      </c>
      <c r="N51" s="64">
        <f t="shared" si="20"/>
        <v>0</v>
      </c>
      <c r="O51" s="385">
        <f t="shared" si="21"/>
        <v>0</v>
      </c>
      <c r="P51" s="399">
        <f t="shared" si="22"/>
        <v>0</v>
      </c>
      <c r="Q51" s="64">
        <f t="shared" si="12"/>
        <v>0</v>
      </c>
      <c r="R51" s="385">
        <f t="shared" si="23"/>
        <v>0</v>
      </c>
      <c r="S51" s="380">
        <f t="shared" si="24"/>
        <v>0</v>
      </c>
      <c r="T51" s="383">
        <f t="shared" si="13"/>
        <v>0</v>
      </c>
      <c r="U51" s="64">
        <f t="shared" si="25"/>
        <v>0</v>
      </c>
      <c r="V51" s="174">
        <f t="shared" si="26"/>
        <v>0</v>
      </c>
      <c r="W51" s="64">
        <f t="shared" si="14"/>
        <v>0</v>
      </c>
      <c r="X51" s="385">
        <f t="shared" si="27"/>
        <v>0</v>
      </c>
      <c r="Y51" s="79">
        <f t="shared" si="28"/>
        <v>0</v>
      </c>
      <c r="Z51" s="53">
        <f t="shared" si="15"/>
        <v>0</v>
      </c>
      <c r="AA51" s="79">
        <f t="shared" si="29"/>
        <v>0</v>
      </c>
      <c r="AB51" s="53">
        <f t="shared" si="16"/>
        <v>0</v>
      </c>
      <c r="AC51" s="79">
        <f t="shared" si="30"/>
        <v>0</v>
      </c>
      <c r="AD51" s="53">
        <f t="shared" si="17"/>
        <v>0</v>
      </c>
    </row>
    <row r="52" spans="1:30" s="2" customFormat="1" ht="18" hidden="1" customHeight="1">
      <c r="A52" s="84"/>
      <c r="B52" s="22"/>
      <c r="C52" s="146"/>
      <c r="D52" s="162"/>
      <c r="E52" s="159">
        <f>IF(E8&gt;$E$2+4,"",DATEDIF(E8,$E$2+4,"y"))</f>
        <v>118</v>
      </c>
      <c r="F52" s="159">
        <f>IF(F8&gt;$E$2+4,"",DATEDIF(F8,$E$2+4,"y"))</f>
        <v>118</v>
      </c>
      <c r="G52" s="159">
        <f>IF(G8&gt;$E$2+4,"",DATEDIF(G8,$E$2+4,"y"))</f>
        <v>118</v>
      </c>
      <c r="H52" s="159">
        <f>IF(H8&gt;$E$2+4,"",DATEDIF(H8,$E$2+4,"y"))</f>
        <v>118</v>
      </c>
      <c r="I52" s="160">
        <f>IF(I8&gt;$E$2+4,"",DATEDIF(I8,$E$2+4,"y"))</f>
        <v>118</v>
      </c>
      <c r="J52" s="571">
        <f t="shared" si="10"/>
        <v>0</v>
      </c>
      <c r="K52" s="64">
        <f t="shared" si="18"/>
        <v>0</v>
      </c>
      <c r="L52" s="385">
        <f t="shared" si="11"/>
        <v>0</v>
      </c>
      <c r="M52" s="391">
        <f t="shared" si="19"/>
        <v>0</v>
      </c>
      <c r="N52" s="64">
        <f t="shared" si="20"/>
        <v>0</v>
      </c>
      <c r="O52" s="385">
        <f t="shared" si="21"/>
        <v>0</v>
      </c>
      <c r="P52" s="399">
        <f t="shared" si="22"/>
        <v>0</v>
      </c>
      <c r="Q52" s="64">
        <f t="shared" si="12"/>
        <v>0</v>
      </c>
      <c r="R52" s="385">
        <f t="shared" si="23"/>
        <v>0</v>
      </c>
      <c r="S52" s="380">
        <f t="shared" si="24"/>
        <v>0</v>
      </c>
      <c r="T52" s="383">
        <f t="shared" si="13"/>
        <v>0</v>
      </c>
      <c r="U52" s="64">
        <f t="shared" si="25"/>
        <v>0</v>
      </c>
      <c r="V52" s="174">
        <f t="shared" si="26"/>
        <v>0</v>
      </c>
      <c r="W52" s="64">
        <f t="shared" si="14"/>
        <v>0</v>
      </c>
      <c r="X52" s="385">
        <f t="shared" si="27"/>
        <v>0</v>
      </c>
      <c r="Y52" s="79">
        <f t="shared" si="28"/>
        <v>0</v>
      </c>
      <c r="Z52" s="53">
        <f t="shared" si="15"/>
        <v>0</v>
      </c>
      <c r="AA52" s="79">
        <f t="shared" si="29"/>
        <v>0</v>
      </c>
      <c r="AB52" s="53">
        <f t="shared" si="16"/>
        <v>0</v>
      </c>
      <c r="AC52" s="79">
        <f t="shared" si="30"/>
        <v>0</v>
      </c>
      <c r="AD52" s="53">
        <f t="shared" si="17"/>
        <v>0</v>
      </c>
    </row>
    <row r="53" spans="1:30" s="2" customFormat="1" ht="18" hidden="1" customHeight="1">
      <c r="A53" s="84"/>
      <c r="B53" s="22"/>
      <c r="C53" s="146"/>
      <c r="D53" s="162"/>
      <c r="E53" s="159">
        <f>IF(E8&gt;$E$2+5,"",DATEDIF(E8,$E$2+5,"y"))</f>
        <v>118</v>
      </c>
      <c r="F53" s="159">
        <f>IF(F8&gt;$E$2+5,"",DATEDIF(F8,$E$2+5,"y"))</f>
        <v>118</v>
      </c>
      <c r="G53" s="159">
        <f>IF(G8&gt;$E$2+5,"",DATEDIF(G8,$E$2+5,"y"))</f>
        <v>118</v>
      </c>
      <c r="H53" s="159">
        <f>IF(H8&gt;$E$2+5,"",DATEDIF(H8,$E$2+5,"y"))</f>
        <v>118</v>
      </c>
      <c r="I53" s="160">
        <f>IF(I8&gt;$E$2+5,"",DATEDIF(I8,$E$2+5,"y"))</f>
        <v>118</v>
      </c>
      <c r="J53" s="571">
        <f t="shared" si="10"/>
        <v>0</v>
      </c>
      <c r="K53" s="64">
        <f t="shared" si="18"/>
        <v>0</v>
      </c>
      <c r="L53" s="385">
        <f t="shared" si="11"/>
        <v>0</v>
      </c>
      <c r="M53" s="391">
        <f t="shared" si="19"/>
        <v>0</v>
      </c>
      <c r="N53" s="64">
        <f t="shared" si="20"/>
        <v>0</v>
      </c>
      <c r="O53" s="385">
        <f t="shared" si="21"/>
        <v>0</v>
      </c>
      <c r="P53" s="399">
        <f t="shared" si="22"/>
        <v>0</v>
      </c>
      <c r="Q53" s="64">
        <f t="shared" si="12"/>
        <v>0</v>
      </c>
      <c r="R53" s="385">
        <f t="shared" si="23"/>
        <v>0</v>
      </c>
      <c r="S53" s="380">
        <f t="shared" si="24"/>
        <v>0</v>
      </c>
      <c r="T53" s="383">
        <f t="shared" si="13"/>
        <v>0</v>
      </c>
      <c r="U53" s="64">
        <f t="shared" si="25"/>
        <v>0</v>
      </c>
      <c r="V53" s="174">
        <f t="shared" si="26"/>
        <v>0</v>
      </c>
      <c r="W53" s="64">
        <f t="shared" si="14"/>
        <v>0</v>
      </c>
      <c r="X53" s="385">
        <f t="shared" si="27"/>
        <v>0</v>
      </c>
      <c r="Y53" s="79">
        <f t="shared" si="28"/>
        <v>0</v>
      </c>
      <c r="Z53" s="53">
        <f t="shared" si="15"/>
        <v>0</v>
      </c>
      <c r="AA53" s="79">
        <f t="shared" si="29"/>
        <v>0</v>
      </c>
      <c r="AB53" s="53">
        <f t="shared" si="16"/>
        <v>0</v>
      </c>
      <c r="AC53" s="79">
        <f t="shared" si="30"/>
        <v>0</v>
      </c>
      <c r="AD53" s="53">
        <f t="shared" si="17"/>
        <v>0</v>
      </c>
    </row>
    <row r="54" spans="1:30" s="2" customFormat="1" ht="18" hidden="1" customHeight="1">
      <c r="A54" s="84"/>
      <c r="B54" s="22"/>
      <c r="C54" s="146"/>
      <c r="D54" s="162"/>
      <c r="E54" s="159">
        <f>IF(E8&gt;$E$2+6,"",DATEDIF(E8,$E$2+6,"y"))</f>
        <v>118</v>
      </c>
      <c r="F54" s="159">
        <f>IF(F8&gt;$E$2+6,"",DATEDIF(F8,$E$2+6,"y"))</f>
        <v>118</v>
      </c>
      <c r="G54" s="159">
        <f>IF(G8&gt;$E$2+6,"",DATEDIF(G8,$E$2+6,"y"))</f>
        <v>118</v>
      </c>
      <c r="H54" s="159">
        <f>IF(H8&gt;$E$2+6,"",DATEDIF(H8,$E$2+6,"y"))</f>
        <v>118</v>
      </c>
      <c r="I54" s="160">
        <f>IF(I8&gt;$E$2+6,"",DATEDIF(I8,$E$2+6,"y"))</f>
        <v>118</v>
      </c>
      <c r="J54" s="571">
        <f t="shared" si="10"/>
        <v>0</v>
      </c>
      <c r="K54" s="64">
        <f t="shared" si="18"/>
        <v>0</v>
      </c>
      <c r="L54" s="385">
        <f t="shared" si="11"/>
        <v>0</v>
      </c>
      <c r="M54" s="391">
        <f t="shared" si="19"/>
        <v>0</v>
      </c>
      <c r="N54" s="64">
        <f t="shared" si="20"/>
        <v>0</v>
      </c>
      <c r="O54" s="385">
        <f t="shared" si="21"/>
        <v>0</v>
      </c>
      <c r="P54" s="399">
        <f t="shared" si="22"/>
        <v>0</v>
      </c>
      <c r="Q54" s="64">
        <f t="shared" si="12"/>
        <v>0</v>
      </c>
      <c r="R54" s="385">
        <f t="shared" si="23"/>
        <v>0</v>
      </c>
      <c r="S54" s="380">
        <f t="shared" si="24"/>
        <v>0</v>
      </c>
      <c r="T54" s="383">
        <f t="shared" si="13"/>
        <v>0</v>
      </c>
      <c r="U54" s="64">
        <f t="shared" si="25"/>
        <v>0</v>
      </c>
      <c r="V54" s="174">
        <f t="shared" si="26"/>
        <v>0</v>
      </c>
      <c r="W54" s="64">
        <f t="shared" si="14"/>
        <v>0</v>
      </c>
      <c r="X54" s="385">
        <f t="shared" si="27"/>
        <v>0</v>
      </c>
      <c r="Y54" s="79">
        <f t="shared" si="28"/>
        <v>0</v>
      </c>
      <c r="Z54" s="53">
        <f t="shared" si="15"/>
        <v>0</v>
      </c>
      <c r="AA54" s="79">
        <f t="shared" si="29"/>
        <v>0</v>
      </c>
      <c r="AB54" s="53">
        <f t="shared" si="16"/>
        <v>0</v>
      </c>
      <c r="AC54" s="79">
        <f t="shared" si="30"/>
        <v>0</v>
      </c>
      <c r="AD54" s="53">
        <f t="shared" si="17"/>
        <v>0</v>
      </c>
    </row>
    <row r="55" spans="1:30" s="2" customFormat="1" ht="18" hidden="1" customHeight="1">
      <c r="A55" s="84"/>
      <c r="B55" s="22"/>
      <c r="C55" s="146"/>
      <c r="D55" s="162"/>
      <c r="E55" s="159">
        <f>IF(E8&gt;$E$2+7,"",DATEDIF(E8,$E$2+7,"y"))</f>
        <v>118</v>
      </c>
      <c r="F55" s="159">
        <f>IF(F8&gt;$E$2+7,"",DATEDIF(F8,$E$2+7,"y"))</f>
        <v>118</v>
      </c>
      <c r="G55" s="159">
        <f>IF(G8&gt;$E$2+7,"",DATEDIF(G8,$E$2+7,"y"))</f>
        <v>118</v>
      </c>
      <c r="H55" s="159">
        <f>IF(H8&gt;$E$2+7,"",DATEDIF(H8,$E$2+7,"y"))</f>
        <v>118</v>
      </c>
      <c r="I55" s="160">
        <f>IF(I8&gt;$E$2+7,"",DATEDIF(I8,$E$2+7,"y"))</f>
        <v>118</v>
      </c>
      <c r="J55" s="571">
        <f t="shared" si="10"/>
        <v>0</v>
      </c>
      <c r="K55" s="64">
        <f t="shared" si="18"/>
        <v>0</v>
      </c>
      <c r="L55" s="385">
        <f t="shared" si="11"/>
        <v>0</v>
      </c>
      <c r="M55" s="391">
        <f t="shared" si="19"/>
        <v>0</v>
      </c>
      <c r="N55" s="64">
        <f t="shared" si="20"/>
        <v>0</v>
      </c>
      <c r="O55" s="385">
        <f t="shared" si="21"/>
        <v>0</v>
      </c>
      <c r="P55" s="399">
        <f t="shared" si="22"/>
        <v>0</v>
      </c>
      <c r="Q55" s="64">
        <f t="shared" si="12"/>
        <v>0</v>
      </c>
      <c r="R55" s="385">
        <f t="shared" si="23"/>
        <v>0</v>
      </c>
      <c r="S55" s="380">
        <f t="shared" si="24"/>
        <v>0</v>
      </c>
      <c r="T55" s="383">
        <f t="shared" si="13"/>
        <v>0</v>
      </c>
      <c r="U55" s="64">
        <f t="shared" si="25"/>
        <v>0</v>
      </c>
      <c r="V55" s="174">
        <f t="shared" si="26"/>
        <v>0</v>
      </c>
      <c r="W55" s="64">
        <f t="shared" si="14"/>
        <v>0</v>
      </c>
      <c r="X55" s="385">
        <f t="shared" si="27"/>
        <v>0</v>
      </c>
      <c r="Y55" s="79">
        <f t="shared" si="28"/>
        <v>0</v>
      </c>
      <c r="Z55" s="53">
        <f t="shared" si="15"/>
        <v>0</v>
      </c>
      <c r="AA55" s="79">
        <f t="shared" si="29"/>
        <v>0</v>
      </c>
      <c r="AB55" s="53">
        <f t="shared" si="16"/>
        <v>0</v>
      </c>
      <c r="AC55" s="79">
        <f t="shared" si="30"/>
        <v>0</v>
      </c>
      <c r="AD55" s="53">
        <f t="shared" si="17"/>
        <v>0</v>
      </c>
    </row>
    <row r="56" spans="1:30" s="2" customFormat="1" ht="18" hidden="1" customHeight="1">
      <c r="A56" s="84"/>
      <c r="B56" s="22"/>
      <c r="C56" s="146"/>
      <c r="D56" s="162"/>
      <c r="E56" s="159">
        <f>IF(E8&gt;$E$2+8,"",DATEDIF(E8,$E$2+8,"y"))</f>
        <v>118</v>
      </c>
      <c r="F56" s="159">
        <f>IF(F8&gt;$E$2+8,"",DATEDIF(F8,$E$2+8,"y"))</f>
        <v>118</v>
      </c>
      <c r="G56" s="159">
        <f>IF(G8&gt;$E$2+8,"",DATEDIF(G8,$E$2+8,"y"))</f>
        <v>118</v>
      </c>
      <c r="H56" s="159">
        <f>IF(H8&gt;$E$2+8,"",DATEDIF(H8,$E$2+8,"y"))</f>
        <v>118</v>
      </c>
      <c r="I56" s="160">
        <f>IF(I8&gt;$E$2+8,"",DATEDIF(I8,$E$2+8,"y"))</f>
        <v>118</v>
      </c>
      <c r="J56" s="571">
        <f t="shared" si="10"/>
        <v>0</v>
      </c>
      <c r="K56" s="64">
        <f t="shared" si="18"/>
        <v>0</v>
      </c>
      <c r="L56" s="385">
        <f t="shared" si="11"/>
        <v>0</v>
      </c>
      <c r="M56" s="391">
        <f t="shared" si="19"/>
        <v>0</v>
      </c>
      <c r="N56" s="64">
        <f t="shared" si="20"/>
        <v>0</v>
      </c>
      <c r="O56" s="385">
        <f t="shared" si="21"/>
        <v>0</v>
      </c>
      <c r="P56" s="399">
        <f t="shared" si="22"/>
        <v>0</v>
      </c>
      <c r="Q56" s="64">
        <f t="shared" si="12"/>
        <v>0</v>
      </c>
      <c r="R56" s="385">
        <f t="shared" si="23"/>
        <v>0</v>
      </c>
      <c r="S56" s="380">
        <f t="shared" si="24"/>
        <v>0</v>
      </c>
      <c r="T56" s="383">
        <f t="shared" si="13"/>
        <v>0</v>
      </c>
      <c r="U56" s="64">
        <f t="shared" si="25"/>
        <v>0</v>
      </c>
      <c r="V56" s="174">
        <f t="shared" si="26"/>
        <v>0</v>
      </c>
      <c r="W56" s="64">
        <f t="shared" si="14"/>
        <v>0</v>
      </c>
      <c r="X56" s="385">
        <f t="shared" si="27"/>
        <v>0</v>
      </c>
      <c r="Y56" s="79">
        <f t="shared" si="28"/>
        <v>0</v>
      </c>
      <c r="Z56" s="53">
        <f t="shared" si="15"/>
        <v>0</v>
      </c>
      <c r="AA56" s="79">
        <f t="shared" si="29"/>
        <v>0</v>
      </c>
      <c r="AB56" s="53">
        <f t="shared" si="16"/>
        <v>0</v>
      </c>
      <c r="AC56" s="79">
        <f t="shared" si="30"/>
        <v>0</v>
      </c>
      <c r="AD56" s="53">
        <f t="shared" si="17"/>
        <v>0</v>
      </c>
    </row>
    <row r="57" spans="1:30" s="2" customFormat="1" ht="18" hidden="1" customHeight="1">
      <c r="A57" s="84"/>
      <c r="B57" s="22"/>
      <c r="C57" s="146"/>
      <c r="D57" s="162"/>
      <c r="E57" s="159">
        <f>IF(E8&gt;$E$2+9,"",DATEDIF(E8,$E$2+9,"y"))</f>
        <v>118</v>
      </c>
      <c r="F57" s="159">
        <f>IF(F8&gt;$E$2+9,"",DATEDIF(F8,$E$2+9,"y"))</f>
        <v>118</v>
      </c>
      <c r="G57" s="159">
        <f>IF(G8&gt;$E$2+9,"",DATEDIF(G8,$E$2+9,"y"))</f>
        <v>118</v>
      </c>
      <c r="H57" s="159">
        <f>IF(H8&gt;$E$2+9,"",DATEDIF(H8,$E$2+9,"y"))</f>
        <v>118</v>
      </c>
      <c r="I57" s="160">
        <f>IF(I8&gt;$E$2+9,"",DATEDIF(I8,$E$2+9,"y"))</f>
        <v>118</v>
      </c>
      <c r="J57" s="571">
        <f t="shared" si="10"/>
        <v>0</v>
      </c>
      <c r="K57" s="64">
        <f t="shared" si="18"/>
        <v>0</v>
      </c>
      <c r="L57" s="385">
        <f t="shared" si="11"/>
        <v>0</v>
      </c>
      <c r="M57" s="391">
        <f t="shared" si="19"/>
        <v>0</v>
      </c>
      <c r="N57" s="64">
        <f t="shared" si="20"/>
        <v>0</v>
      </c>
      <c r="O57" s="385">
        <f t="shared" si="21"/>
        <v>0</v>
      </c>
      <c r="P57" s="399">
        <f t="shared" si="22"/>
        <v>0</v>
      </c>
      <c r="Q57" s="64">
        <f t="shared" si="12"/>
        <v>0</v>
      </c>
      <c r="R57" s="385">
        <f t="shared" si="23"/>
        <v>0</v>
      </c>
      <c r="S57" s="380">
        <f t="shared" si="24"/>
        <v>0</v>
      </c>
      <c r="T57" s="383">
        <f t="shared" si="13"/>
        <v>0</v>
      </c>
      <c r="U57" s="64">
        <f t="shared" si="25"/>
        <v>0</v>
      </c>
      <c r="V57" s="174">
        <f t="shared" si="26"/>
        <v>0</v>
      </c>
      <c r="W57" s="64">
        <f t="shared" si="14"/>
        <v>0</v>
      </c>
      <c r="X57" s="385">
        <f t="shared" si="27"/>
        <v>0</v>
      </c>
      <c r="Y57" s="79">
        <f t="shared" si="28"/>
        <v>0</v>
      </c>
      <c r="Z57" s="53">
        <f t="shared" si="15"/>
        <v>0</v>
      </c>
      <c r="AA57" s="79">
        <f t="shared" si="29"/>
        <v>0</v>
      </c>
      <c r="AB57" s="53">
        <f t="shared" si="16"/>
        <v>0</v>
      </c>
      <c r="AC57" s="79">
        <f t="shared" si="30"/>
        <v>0</v>
      </c>
      <c r="AD57" s="53">
        <f t="shared" si="17"/>
        <v>0</v>
      </c>
    </row>
    <row r="58" spans="1:30" s="2" customFormat="1" ht="18" hidden="1" customHeight="1">
      <c r="A58" s="84"/>
      <c r="B58" s="22"/>
      <c r="C58" s="146"/>
      <c r="D58" s="162"/>
      <c r="E58" s="159">
        <f>IF(E8&gt;$E$2+10,"",DATEDIF(E8,$E$2+10,"y"))</f>
        <v>118</v>
      </c>
      <c r="F58" s="159">
        <f>IF(F8&gt;$E$2+10,"",DATEDIF(F8,$E$2+10,"y"))</f>
        <v>118</v>
      </c>
      <c r="G58" s="159">
        <f>IF(G8&gt;$E$2+10,"",DATEDIF(G8,$E$2+10,"y"))</f>
        <v>118</v>
      </c>
      <c r="H58" s="159">
        <f>IF(H8&gt;$E$2+10,"",DATEDIF(H8,$E$2+10,"y"))</f>
        <v>118</v>
      </c>
      <c r="I58" s="160">
        <f>IF(I8&gt;$E$2+10,"",DATEDIF(I8,$E$2+10,"y"))</f>
        <v>118</v>
      </c>
      <c r="J58" s="571">
        <f t="shared" si="10"/>
        <v>0</v>
      </c>
      <c r="K58" s="64">
        <f t="shared" si="18"/>
        <v>0</v>
      </c>
      <c r="L58" s="385">
        <f t="shared" si="11"/>
        <v>0</v>
      </c>
      <c r="M58" s="391">
        <f t="shared" si="19"/>
        <v>0</v>
      </c>
      <c r="N58" s="64">
        <f t="shared" si="20"/>
        <v>0</v>
      </c>
      <c r="O58" s="385">
        <f t="shared" si="21"/>
        <v>0</v>
      </c>
      <c r="P58" s="399">
        <f t="shared" si="22"/>
        <v>0</v>
      </c>
      <c r="Q58" s="64">
        <f t="shared" si="12"/>
        <v>0</v>
      </c>
      <c r="R58" s="385">
        <f t="shared" si="23"/>
        <v>0</v>
      </c>
      <c r="S58" s="380">
        <f t="shared" si="24"/>
        <v>0</v>
      </c>
      <c r="T58" s="383">
        <f t="shared" si="13"/>
        <v>0</v>
      </c>
      <c r="U58" s="64">
        <f t="shared" si="25"/>
        <v>0</v>
      </c>
      <c r="V58" s="174">
        <f t="shared" si="26"/>
        <v>0</v>
      </c>
      <c r="W58" s="64">
        <f t="shared" si="14"/>
        <v>0</v>
      </c>
      <c r="X58" s="385">
        <f t="shared" si="27"/>
        <v>0</v>
      </c>
      <c r="Y58" s="79">
        <f t="shared" si="28"/>
        <v>0</v>
      </c>
      <c r="Z58" s="53">
        <f t="shared" si="15"/>
        <v>0</v>
      </c>
      <c r="AA58" s="79">
        <f t="shared" si="29"/>
        <v>0</v>
      </c>
      <c r="AB58" s="53">
        <f t="shared" si="16"/>
        <v>0</v>
      </c>
      <c r="AC58" s="79">
        <f t="shared" si="30"/>
        <v>0</v>
      </c>
      <c r="AD58" s="53">
        <f t="shared" si="17"/>
        <v>0</v>
      </c>
    </row>
    <row r="59" spans="1:30" s="2" customFormat="1" ht="18" hidden="1" customHeight="1">
      <c r="A59" s="84"/>
      <c r="B59" s="22"/>
      <c r="C59" s="146"/>
      <c r="D59" s="162"/>
      <c r="E59" s="159">
        <f>IF(E8&gt;$E$2+11,"",DATEDIF(E8,$E$2+11,"y"))</f>
        <v>118</v>
      </c>
      <c r="F59" s="159">
        <f>IF(F8&gt;$E$2+11,"",DATEDIF(F8,$E$2+11,"y"))</f>
        <v>118</v>
      </c>
      <c r="G59" s="159">
        <f>IF(G8&gt;$E$2+11,"",DATEDIF(G8,$E$2+11,"y"))</f>
        <v>118</v>
      </c>
      <c r="H59" s="159">
        <f>IF(H8&gt;$E$2+11,"",DATEDIF(H8,$E$2+11,"y"))</f>
        <v>118</v>
      </c>
      <c r="I59" s="160">
        <f>IF(I8&gt;$E$2+11,"",DATEDIF(I8,$E$2+11,"y"))</f>
        <v>118</v>
      </c>
      <c r="J59" s="571">
        <f t="shared" si="10"/>
        <v>0</v>
      </c>
      <c r="K59" s="64">
        <f t="shared" si="18"/>
        <v>0</v>
      </c>
      <c r="L59" s="385">
        <f t="shared" si="11"/>
        <v>0</v>
      </c>
      <c r="M59" s="391">
        <f t="shared" si="19"/>
        <v>0</v>
      </c>
      <c r="N59" s="64">
        <f t="shared" si="20"/>
        <v>0</v>
      </c>
      <c r="O59" s="385">
        <f t="shared" si="21"/>
        <v>0</v>
      </c>
      <c r="P59" s="399">
        <f t="shared" si="22"/>
        <v>0</v>
      </c>
      <c r="Q59" s="64">
        <f t="shared" si="12"/>
        <v>0</v>
      </c>
      <c r="R59" s="385">
        <f t="shared" si="23"/>
        <v>0</v>
      </c>
      <c r="S59" s="380">
        <f t="shared" si="24"/>
        <v>0</v>
      </c>
      <c r="T59" s="383">
        <f t="shared" si="13"/>
        <v>0</v>
      </c>
      <c r="U59" s="64">
        <f t="shared" si="25"/>
        <v>0</v>
      </c>
      <c r="V59" s="174">
        <f t="shared" si="26"/>
        <v>0</v>
      </c>
      <c r="W59" s="64">
        <f t="shared" si="14"/>
        <v>0</v>
      </c>
      <c r="X59" s="385">
        <f t="shared" si="27"/>
        <v>0</v>
      </c>
      <c r="Y59" s="79">
        <f t="shared" si="28"/>
        <v>0</v>
      </c>
      <c r="Z59" s="53">
        <f t="shared" si="15"/>
        <v>0</v>
      </c>
      <c r="AA59" s="79">
        <f t="shared" si="29"/>
        <v>0</v>
      </c>
      <c r="AB59" s="53">
        <f t="shared" si="16"/>
        <v>0</v>
      </c>
      <c r="AC59" s="79">
        <f t="shared" si="30"/>
        <v>0</v>
      </c>
      <c r="AD59" s="53">
        <f t="shared" si="17"/>
        <v>0</v>
      </c>
    </row>
    <row r="60" spans="1:30" s="2" customFormat="1" ht="18" hidden="1" customHeight="1">
      <c r="A60" s="84"/>
      <c r="B60" s="22"/>
      <c r="C60" s="146"/>
      <c r="D60" s="162"/>
      <c r="E60" s="159">
        <f>IF(E8&gt;$E$2+12,"",DATEDIF(E8,$E$2+12,"y"))</f>
        <v>118</v>
      </c>
      <c r="F60" s="159">
        <f>IF(F8&gt;$E$2+12,"",DATEDIF(F8,$E$2+12,"y"))</f>
        <v>118</v>
      </c>
      <c r="G60" s="159">
        <f>IF(G8&gt;$E$2+12,"",DATEDIF(G8,$E$2+12,"y"))</f>
        <v>118</v>
      </c>
      <c r="H60" s="159">
        <f>IF(H8&gt;$E$2+12,"",DATEDIF(H8,$E$2+12,"y"))</f>
        <v>118</v>
      </c>
      <c r="I60" s="160">
        <f>IF(I8&gt;$E$2+12,"",DATEDIF(I8,$E$2+12,"y"))</f>
        <v>118</v>
      </c>
      <c r="J60" s="571">
        <f t="shared" si="10"/>
        <v>0</v>
      </c>
      <c r="K60" s="64">
        <f t="shared" si="18"/>
        <v>0</v>
      </c>
      <c r="L60" s="385">
        <f t="shared" si="11"/>
        <v>0</v>
      </c>
      <c r="M60" s="391">
        <f t="shared" si="19"/>
        <v>0</v>
      </c>
      <c r="N60" s="64">
        <f t="shared" si="20"/>
        <v>0</v>
      </c>
      <c r="O60" s="385">
        <f t="shared" si="21"/>
        <v>0</v>
      </c>
      <c r="P60" s="399">
        <f t="shared" si="22"/>
        <v>0</v>
      </c>
      <c r="Q60" s="64">
        <f t="shared" si="12"/>
        <v>0</v>
      </c>
      <c r="R60" s="385">
        <f t="shared" si="23"/>
        <v>0</v>
      </c>
      <c r="S60" s="380">
        <f t="shared" si="24"/>
        <v>0</v>
      </c>
      <c r="T60" s="383">
        <f t="shared" si="13"/>
        <v>0</v>
      </c>
      <c r="U60" s="64">
        <f t="shared" si="25"/>
        <v>0</v>
      </c>
      <c r="V60" s="174">
        <f t="shared" si="26"/>
        <v>0</v>
      </c>
      <c r="W60" s="64">
        <f t="shared" si="14"/>
        <v>0</v>
      </c>
      <c r="X60" s="385">
        <f t="shared" si="27"/>
        <v>0</v>
      </c>
      <c r="Y60" s="79">
        <f t="shared" si="28"/>
        <v>0</v>
      </c>
      <c r="Z60" s="53">
        <f t="shared" si="15"/>
        <v>0</v>
      </c>
      <c r="AA60" s="79">
        <f t="shared" si="29"/>
        <v>0</v>
      </c>
      <c r="AB60" s="53">
        <f t="shared" si="16"/>
        <v>0</v>
      </c>
      <c r="AC60" s="79">
        <f t="shared" si="30"/>
        <v>0</v>
      </c>
      <c r="AD60" s="53">
        <f t="shared" si="17"/>
        <v>0</v>
      </c>
    </row>
    <row r="61" spans="1:30" s="2" customFormat="1" ht="18" hidden="1" customHeight="1">
      <c r="A61" s="84"/>
      <c r="B61" s="22"/>
      <c r="C61" s="146"/>
      <c r="D61" s="162"/>
      <c r="E61" s="159">
        <f>IF(E8&gt;$E$2+13,"",DATEDIF(E8,$E$2+13,"y"))</f>
        <v>118</v>
      </c>
      <c r="F61" s="159">
        <f>IF(F8&gt;$E$2+13,"",DATEDIF(F8,$E$2+13,"y"))</f>
        <v>118</v>
      </c>
      <c r="G61" s="159">
        <f>IF(G8&gt;$E$2+13,"",DATEDIF(G8,$E$2+13,"y"))</f>
        <v>118</v>
      </c>
      <c r="H61" s="159">
        <f>IF(H8&gt;$E$2+13,"",DATEDIF(H8,$E$2+13,"y"))</f>
        <v>118</v>
      </c>
      <c r="I61" s="160">
        <f>IF(I8&gt;$E$2+13,"",DATEDIF(I8,$E$2+13,"y"))</f>
        <v>118</v>
      </c>
      <c r="J61" s="571">
        <f t="shared" si="10"/>
        <v>0</v>
      </c>
      <c r="K61" s="64">
        <f t="shared" si="18"/>
        <v>0</v>
      </c>
      <c r="L61" s="385">
        <f t="shared" si="11"/>
        <v>0</v>
      </c>
      <c r="M61" s="391">
        <f t="shared" si="19"/>
        <v>0</v>
      </c>
      <c r="N61" s="64">
        <f t="shared" si="20"/>
        <v>0</v>
      </c>
      <c r="O61" s="385">
        <f t="shared" si="21"/>
        <v>0</v>
      </c>
      <c r="P61" s="399">
        <f t="shared" si="22"/>
        <v>0</v>
      </c>
      <c r="Q61" s="64">
        <f t="shared" si="12"/>
        <v>0</v>
      </c>
      <c r="R61" s="385">
        <f t="shared" si="23"/>
        <v>0</v>
      </c>
      <c r="S61" s="380">
        <f t="shared" si="24"/>
        <v>0</v>
      </c>
      <c r="T61" s="383">
        <f t="shared" si="13"/>
        <v>0</v>
      </c>
      <c r="U61" s="64">
        <f t="shared" si="25"/>
        <v>0</v>
      </c>
      <c r="V61" s="174">
        <f t="shared" si="26"/>
        <v>0</v>
      </c>
      <c r="W61" s="64">
        <f t="shared" si="14"/>
        <v>0</v>
      </c>
      <c r="X61" s="385">
        <f t="shared" si="27"/>
        <v>0</v>
      </c>
      <c r="Y61" s="79">
        <f t="shared" si="28"/>
        <v>0</v>
      </c>
      <c r="Z61" s="53">
        <f t="shared" si="15"/>
        <v>0</v>
      </c>
      <c r="AA61" s="79">
        <f t="shared" si="29"/>
        <v>0</v>
      </c>
      <c r="AB61" s="53">
        <f t="shared" si="16"/>
        <v>0</v>
      </c>
      <c r="AC61" s="79">
        <f t="shared" si="30"/>
        <v>0</v>
      </c>
      <c r="AD61" s="53">
        <f t="shared" si="17"/>
        <v>0</v>
      </c>
    </row>
    <row r="62" spans="1:30" s="2" customFormat="1" ht="18" hidden="1" customHeight="1">
      <c r="A62" s="84"/>
      <c r="B62" s="22"/>
      <c r="C62" s="146"/>
      <c r="D62" s="162"/>
      <c r="E62" s="159">
        <f>IF(E8&gt;$E$2+14,"",DATEDIF(E8,$E$2+14,"y"))</f>
        <v>118</v>
      </c>
      <c r="F62" s="159">
        <f>IF(F8&gt;$E$2+14,"",DATEDIF(F8,$E$2+14,"y"))</f>
        <v>118</v>
      </c>
      <c r="G62" s="159">
        <f>IF(G8&gt;$E$2+14,"",DATEDIF(G8,$E$2+14,"y"))</f>
        <v>118</v>
      </c>
      <c r="H62" s="159">
        <f>IF(H8&gt;$E$2+14,"",DATEDIF(H8,$E$2+14,"y"))</f>
        <v>118</v>
      </c>
      <c r="I62" s="160">
        <f>IF(I8&gt;$E$2+14,"",DATEDIF(I8,$E$2+14,"y"))</f>
        <v>118</v>
      </c>
      <c r="J62" s="571">
        <f t="shared" si="10"/>
        <v>0</v>
      </c>
      <c r="K62" s="64">
        <f t="shared" si="18"/>
        <v>0</v>
      </c>
      <c r="L62" s="385">
        <f t="shared" si="11"/>
        <v>0</v>
      </c>
      <c r="M62" s="391">
        <f t="shared" si="19"/>
        <v>0</v>
      </c>
      <c r="N62" s="64">
        <f t="shared" si="20"/>
        <v>0</v>
      </c>
      <c r="O62" s="385">
        <f t="shared" si="21"/>
        <v>0</v>
      </c>
      <c r="P62" s="399">
        <f t="shared" si="22"/>
        <v>0</v>
      </c>
      <c r="Q62" s="64">
        <f t="shared" si="12"/>
        <v>0</v>
      </c>
      <c r="R62" s="385">
        <f t="shared" si="23"/>
        <v>0</v>
      </c>
      <c r="S62" s="380">
        <f t="shared" si="24"/>
        <v>0</v>
      </c>
      <c r="T62" s="383">
        <f t="shared" si="13"/>
        <v>0</v>
      </c>
      <c r="U62" s="64">
        <f t="shared" si="25"/>
        <v>0</v>
      </c>
      <c r="V62" s="174">
        <f t="shared" si="26"/>
        <v>0</v>
      </c>
      <c r="W62" s="64">
        <f t="shared" si="14"/>
        <v>0</v>
      </c>
      <c r="X62" s="385">
        <f t="shared" si="27"/>
        <v>0</v>
      </c>
      <c r="Y62" s="79">
        <f t="shared" si="28"/>
        <v>0</v>
      </c>
      <c r="Z62" s="53">
        <f t="shared" si="15"/>
        <v>0</v>
      </c>
      <c r="AA62" s="79">
        <f t="shared" si="29"/>
        <v>0</v>
      </c>
      <c r="AB62" s="53">
        <f t="shared" si="16"/>
        <v>0</v>
      </c>
      <c r="AC62" s="79">
        <f t="shared" si="30"/>
        <v>0</v>
      </c>
      <c r="AD62" s="53">
        <f t="shared" si="17"/>
        <v>0</v>
      </c>
    </row>
    <row r="63" spans="1:30" s="2" customFormat="1" ht="18" hidden="1" customHeight="1">
      <c r="A63" s="84"/>
      <c r="B63" s="22"/>
      <c r="C63" s="146"/>
      <c r="D63" s="162"/>
      <c r="E63" s="159">
        <f>IF(E8&gt;$E$2+15,"",DATEDIF(E8,$E$2+15,"y"))</f>
        <v>118</v>
      </c>
      <c r="F63" s="159">
        <f>IF(F8&gt;$E$2+15,"",DATEDIF(F8,$E$2+15,"y"))</f>
        <v>118</v>
      </c>
      <c r="G63" s="159">
        <f>IF(G8&gt;$E$2+15,"",DATEDIF(G8,$E$2+15,"y"))</f>
        <v>118</v>
      </c>
      <c r="H63" s="159">
        <f>IF(H8&gt;$E$2+15,"",DATEDIF(H8,$E$2+15,"y"))</f>
        <v>118</v>
      </c>
      <c r="I63" s="160">
        <f>IF(I8&gt;$E$2+15,"",DATEDIF(I8,$E$2+15,"y"))</f>
        <v>118</v>
      </c>
      <c r="J63" s="571">
        <f t="shared" si="10"/>
        <v>0</v>
      </c>
      <c r="K63" s="64">
        <f t="shared" si="18"/>
        <v>0</v>
      </c>
      <c r="L63" s="385">
        <f t="shared" si="11"/>
        <v>0</v>
      </c>
      <c r="M63" s="391">
        <f t="shared" si="19"/>
        <v>0</v>
      </c>
      <c r="N63" s="64">
        <f t="shared" si="20"/>
        <v>0</v>
      </c>
      <c r="O63" s="385">
        <f t="shared" si="21"/>
        <v>0</v>
      </c>
      <c r="P63" s="399">
        <f t="shared" si="22"/>
        <v>0</v>
      </c>
      <c r="Q63" s="64">
        <f t="shared" si="12"/>
        <v>0</v>
      </c>
      <c r="R63" s="385">
        <f t="shared" si="23"/>
        <v>0</v>
      </c>
      <c r="S63" s="380">
        <f t="shared" si="24"/>
        <v>0</v>
      </c>
      <c r="T63" s="383">
        <f t="shared" si="13"/>
        <v>0</v>
      </c>
      <c r="U63" s="64">
        <f t="shared" si="25"/>
        <v>0</v>
      </c>
      <c r="V63" s="174">
        <f t="shared" si="26"/>
        <v>0</v>
      </c>
      <c r="W63" s="64">
        <f t="shared" si="14"/>
        <v>0</v>
      </c>
      <c r="X63" s="385">
        <f t="shared" si="27"/>
        <v>0</v>
      </c>
      <c r="Y63" s="79">
        <f t="shared" si="28"/>
        <v>0</v>
      </c>
      <c r="Z63" s="53">
        <f t="shared" si="15"/>
        <v>0</v>
      </c>
      <c r="AA63" s="79">
        <f t="shared" si="29"/>
        <v>0</v>
      </c>
      <c r="AB63" s="53">
        <f t="shared" si="16"/>
        <v>0</v>
      </c>
      <c r="AC63" s="79">
        <f t="shared" si="30"/>
        <v>0</v>
      </c>
      <c r="AD63" s="53">
        <f t="shared" si="17"/>
        <v>0</v>
      </c>
    </row>
    <row r="64" spans="1:30" s="2" customFormat="1" ht="18" hidden="1" customHeight="1">
      <c r="A64" s="84"/>
      <c r="B64" s="22"/>
      <c r="C64" s="146"/>
      <c r="D64" s="162"/>
      <c r="E64" s="159">
        <f>IF(E8&gt;$E$2+16,"",DATEDIF(E8,$E$2+16,"y"))</f>
        <v>118</v>
      </c>
      <c r="F64" s="159">
        <f>IF(F8&gt;$E$2+16,"",DATEDIF(F8,$E$2+16,"y"))</f>
        <v>118</v>
      </c>
      <c r="G64" s="159">
        <f>IF(G8&gt;$E$2+16,"",DATEDIF(G8,$E$2+16,"y"))</f>
        <v>118</v>
      </c>
      <c r="H64" s="159">
        <f>IF(H8&gt;$E$2+16,"",DATEDIF(H8,$E$2+16,"y"))</f>
        <v>118</v>
      </c>
      <c r="I64" s="160">
        <f>IF(I8&gt;$E$2+16,"",DATEDIF(I8,$E$2+16,"y"))</f>
        <v>118</v>
      </c>
      <c r="J64" s="571">
        <f t="shared" si="10"/>
        <v>0</v>
      </c>
      <c r="K64" s="64">
        <f t="shared" si="18"/>
        <v>0</v>
      </c>
      <c r="L64" s="385">
        <f t="shared" si="11"/>
        <v>0</v>
      </c>
      <c r="M64" s="391">
        <f t="shared" si="19"/>
        <v>0</v>
      </c>
      <c r="N64" s="64">
        <f t="shared" si="20"/>
        <v>0</v>
      </c>
      <c r="O64" s="385">
        <f t="shared" si="21"/>
        <v>0</v>
      </c>
      <c r="P64" s="399">
        <f t="shared" si="22"/>
        <v>0</v>
      </c>
      <c r="Q64" s="64">
        <f t="shared" si="12"/>
        <v>0</v>
      </c>
      <c r="R64" s="385">
        <f t="shared" si="23"/>
        <v>0</v>
      </c>
      <c r="S64" s="380">
        <f t="shared" si="24"/>
        <v>0</v>
      </c>
      <c r="T64" s="383">
        <f t="shared" si="13"/>
        <v>0</v>
      </c>
      <c r="U64" s="64">
        <f t="shared" si="25"/>
        <v>0</v>
      </c>
      <c r="V64" s="174">
        <f t="shared" si="26"/>
        <v>0</v>
      </c>
      <c r="W64" s="64">
        <f t="shared" si="14"/>
        <v>0</v>
      </c>
      <c r="X64" s="385">
        <f t="shared" si="27"/>
        <v>0</v>
      </c>
      <c r="Y64" s="79">
        <f t="shared" si="28"/>
        <v>0</v>
      </c>
      <c r="Z64" s="53">
        <f t="shared" si="15"/>
        <v>0</v>
      </c>
      <c r="AA64" s="79">
        <f t="shared" si="29"/>
        <v>0</v>
      </c>
      <c r="AB64" s="53">
        <f t="shared" si="16"/>
        <v>0</v>
      </c>
      <c r="AC64" s="79">
        <f t="shared" si="30"/>
        <v>0</v>
      </c>
      <c r="AD64" s="53">
        <f t="shared" si="17"/>
        <v>0</v>
      </c>
    </row>
    <row r="65" spans="1:31" s="2" customFormat="1" ht="18" hidden="1" customHeight="1">
      <c r="A65" s="84"/>
      <c r="B65" s="22"/>
      <c r="C65" s="146"/>
      <c r="D65" s="162"/>
      <c r="E65" s="159">
        <f>IF(E8&gt;$E$2+17,"",DATEDIF(E8,$E$2+17,"y"))</f>
        <v>118</v>
      </c>
      <c r="F65" s="159">
        <f>IF(F8&gt;$E$2+17,"",DATEDIF(F8,$E$2+17,"y"))</f>
        <v>118</v>
      </c>
      <c r="G65" s="159">
        <f>IF(G8&gt;$E$2+17,"",DATEDIF(G8,$E$2+17,"y"))</f>
        <v>118</v>
      </c>
      <c r="H65" s="159">
        <f>IF(H8&gt;$E$2+17,"",DATEDIF(H8,$E$2+17,"y"))</f>
        <v>118</v>
      </c>
      <c r="I65" s="160">
        <f>IF(I8&gt;$E$2+17,"",DATEDIF(I8,$E$2+17,"y"))</f>
        <v>118</v>
      </c>
      <c r="J65" s="571">
        <f t="shared" si="10"/>
        <v>0</v>
      </c>
      <c r="K65" s="64">
        <f t="shared" si="18"/>
        <v>0</v>
      </c>
      <c r="L65" s="385">
        <f t="shared" si="11"/>
        <v>0</v>
      </c>
      <c r="M65" s="391">
        <f t="shared" si="19"/>
        <v>0</v>
      </c>
      <c r="N65" s="64">
        <f t="shared" si="20"/>
        <v>0</v>
      </c>
      <c r="O65" s="385">
        <f t="shared" si="21"/>
        <v>0</v>
      </c>
      <c r="P65" s="399">
        <f t="shared" si="22"/>
        <v>0</v>
      </c>
      <c r="Q65" s="64">
        <f t="shared" si="12"/>
        <v>0</v>
      </c>
      <c r="R65" s="385">
        <f t="shared" si="23"/>
        <v>0</v>
      </c>
      <c r="S65" s="380">
        <f t="shared" si="24"/>
        <v>0</v>
      </c>
      <c r="T65" s="383">
        <f t="shared" si="13"/>
        <v>0</v>
      </c>
      <c r="U65" s="64">
        <f t="shared" si="25"/>
        <v>0</v>
      </c>
      <c r="V65" s="174">
        <f t="shared" si="26"/>
        <v>0</v>
      </c>
      <c r="W65" s="64">
        <f t="shared" si="14"/>
        <v>0</v>
      </c>
      <c r="X65" s="385">
        <f t="shared" si="27"/>
        <v>0</v>
      </c>
      <c r="Y65" s="79">
        <f t="shared" si="28"/>
        <v>0</v>
      </c>
      <c r="Z65" s="53">
        <f t="shared" si="15"/>
        <v>0</v>
      </c>
      <c r="AA65" s="79">
        <f t="shared" si="29"/>
        <v>0</v>
      </c>
      <c r="AB65" s="53">
        <f t="shared" si="16"/>
        <v>0</v>
      </c>
      <c r="AC65" s="79">
        <f t="shared" si="30"/>
        <v>0</v>
      </c>
      <c r="AD65" s="53">
        <f t="shared" si="17"/>
        <v>0</v>
      </c>
    </row>
    <row r="66" spans="1:31" s="2" customFormat="1" ht="18" hidden="1" customHeight="1">
      <c r="A66" s="84"/>
      <c r="B66" s="22"/>
      <c r="C66" s="146"/>
      <c r="D66" s="162"/>
      <c r="E66" s="159">
        <f>IF(E8&gt;$E$2+18,"",DATEDIF(E8,$E$2+18,"y"))</f>
        <v>118</v>
      </c>
      <c r="F66" s="159">
        <f>IF(F8&gt;$E$2+18,"",DATEDIF(F8,$E$2+18,"y"))</f>
        <v>118</v>
      </c>
      <c r="G66" s="159">
        <f>IF(G8&gt;$E$2+18,"",DATEDIF(G8,$E$2+18,"y"))</f>
        <v>118</v>
      </c>
      <c r="H66" s="159">
        <f>IF(H8&gt;$E$2+18,"",DATEDIF(H8,$E$2+18,"y"))</f>
        <v>118</v>
      </c>
      <c r="I66" s="160">
        <f>IF(I8&gt;$E$2+18,"",DATEDIF(I8,$E$2+18,"y"))</f>
        <v>118</v>
      </c>
      <c r="J66" s="571">
        <f t="shared" si="10"/>
        <v>0</v>
      </c>
      <c r="K66" s="64">
        <f t="shared" si="18"/>
        <v>0</v>
      </c>
      <c r="L66" s="385">
        <f t="shared" si="11"/>
        <v>0</v>
      </c>
      <c r="M66" s="391">
        <f t="shared" si="19"/>
        <v>0</v>
      </c>
      <c r="N66" s="64">
        <f t="shared" si="20"/>
        <v>0</v>
      </c>
      <c r="O66" s="385">
        <f t="shared" si="21"/>
        <v>0</v>
      </c>
      <c r="P66" s="399">
        <f t="shared" si="22"/>
        <v>0</v>
      </c>
      <c r="Q66" s="64">
        <f t="shared" si="12"/>
        <v>0</v>
      </c>
      <c r="R66" s="385">
        <f t="shared" si="23"/>
        <v>0</v>
      </c>
      <c r="S66" s="380">
        <f t="shared" si="24"/>
        <v>0</v>
      </c>
      <c r="T66" s="383">
        <f t="shared" si="13"/>
        <v>0</v>
      </c>
      <c r="U66" s="64">
        <f t="shared" si="25"/>
        <v>0</v>
      </c>
      <c r="V66" s="174">
        <f t="shared" si="26"/>
        <v>0</v>
      </c>
      <c r="W66" s="64">
        <f t="shared" si="14"/>
        <v>0</v>
      </c>
      <c r="X66" s="385">
        <f t="shared" si="27"/>
        <v>0</v>
      </c>
      <c r="Y66" s="79">
        <f t="shared" si="28"/>
        <v>0</v>
      </c>
      <c r="Z66" s="53">
        <f t="shared" si="15"/>
        <v>0</v>
      </c>
      <c r="AA66" s="79">
        <f t="shared" si="29"/>
        <v>0</v>
      </c>
      <c r="AB66" s="53">
        <f t="shared" si="16"/>
        <v>0</v>
      </c>
      <c r="AC66" s="79">
        <f t="shared" si="30"/>
        <v>0</v>
      </c>
      <c r="AD66" s="53">
        <f t="shared" si="17"/>
        <v>0</v>
      </c>
    </row>
    <row r="67" spans="1:31" s="2" customFormat="1" ht="18" hidden="1" customHeight="1">
      <c r="A67" s="84"/>
      <c r="B67" s="22"/>
      <c r="C67" s="146"/>
      <c r="D67" s="162"/>
      <c r="E67" s="159">
        <f>IF(E8&gt;$E$2+19,"",DATEDIF(E8,$E$2+19,"y"))</f>
        <v>118</v>
      </c>
      <c r="F67" s="159">
        <f>IF(F8&gt;$E$2+19,"",DATEDIF(F8,$E$2+19,"y"))</f>
        <v>118</v>
      </c>
      <c r="G67" s="159">
        <f>IF(G8&gt;$E$2+19,"",DATEDIF(G8,$E$2+19,"y"))</f>
        <v>118</v>
      </c>
      <c r="H67" s="159">
        <f>IF(H8&gt;$E$2+19,"",DATEDIF(H8,$E$2+19,"y"))</f>
        <v>118</v>
      </c>
      <c r="I67" s="160">
        <f>IF(I8&gt;$E$2+19,"",DATEDIF(I8,$E$2+19,"y"))</f>
        <v>118</v>
      </c>
      <c r="J67" s="571">
        <f t="shared" si="10"/>
        <v>0</v>
      </c>
      <c r="K67" s="64">
        <f t="shared" si="18"/>
        <v>0</v>
      </c>
      <c r="L67" s="385">
        <f t="shared" si="11"/>
        <v>0</v>
      </c>
      <c r="M67" s="391">
        <f t="shared" si="19"/>
        <v>0</v>
      </c>
      <c r="N67" s="64">
        <f t="shared" si="20"/>
        <v>0</v>
      </c>
      <c r="O67" s="385">
        <f t="shared" si="21"/>
        <v>0</v>
      </c>
      <c r="P67" s="399">
        <f t="shared" si="22"/>
        <v>0</v>
      </c>
      <c r="Q67" s="64">
        <f t="shared" si="12"/>
        <v>0</v>
      </c>
      <c r="R67" s="385">
        <f t="shared" si="23"/>
        <v>0</v>
      </c>
      <c r="S67" s="380">
        <f t="shared" si="24"/>
        <v>0</v>
      </c>
      <c r="T67" s="383">
        <f t="shared" si="13"/>
        <v>0</v>
      </c>
      <c r="U67" s="64">
        <f t="shared" si="25"/>
        <v>0</v>
      </c>
      <c r="V67" s="174">
        <f t="shared" si="26"/>
        <v>0</v>
      </c>
      <c r="W67" s="64">
        <f t="shared" si="14"/>
        <v>0</v>
      </c>
      <c r="X67" s="385">
        <f t="shared" si="27"/>
        <v>0</v>
      </c>
      <c r="Y67" s="79">
        <f t="shared" si="28"/>
        <v>0</v>
      </c>
      <c r="Z67" s="53">
        <f t="shared" si="15"/>
        <v>0</v>
      </c>
      <c r="AA67" s="79">
        <f t="shared" si="29"/>
        <v>0</v>
      </c>
      <c r="AB67" s="53">
        <f t="shared" si="16"/>
        <v>0</v>
      </c>
      <c r="AC67" s="79">
        <f t="shared" si="30"/>
        <v>0</v>
      </c>
      <c r="AD67" s="53">
        <f t="shared" si="17"/>
        <v>0</v>
      </c>
    </row>
    <row r="68" spans="1:31" s="2" customFormat="1" ht="18" hidden="1" customHeight="1">
      <c r="A68" s="84"/>
      <c r="B68" s="22"/>
      <c r="C68" s="146"/>
      <c r="D68" s="162"/>
      <c r="E68" s="159">
        <f>IF(E8&gt;$E$2+20,"",DATEDIF(E8,$E$2+20,"y"))</f>
        <v>118</v>
      </c>
      <c r="F68" s="159">
        <f>IF(F8&gt;$E$2+20,"",DATEDIF(F8,$E$2+20,"y"))</f>
        <v>118</v>
      </c>
      <c r="G68" s="159">
        <f>IF(G8&gt;$E$2+20,"",DATEDIF(G8,$E$2+20,"y"))</f>
        <v>118</v>
      </c>
      <c r="H68" s="159">
        <f>IF(H8&gt;$E$2+20,"",DATEDIF(H8,$E$2+20,"y"))</f>
        <v>118</v>
      </c>
      <c r="I68" s="160">
        <f>IF(I8&gt;$E$2+20,"",DATEDIF(I8,$E$2+20,"y"))</f>
        <v>118</v>
      </c>
      <c r="J68" s="571">
        <f t="shared" si="10"/>
        <v>0</v>
      </c>
      <c r="K68" s="64">
        <f t="shared" si="18"/>
        <v>0</v>
      </c>
      <c r="L68" s="385">
        <f t="shared" si="11"/>
        <v>0</v>
      </c>
      <c r="M68" s="391">
        <f t="shared" si="19"/>
        <v>0</v>
      </c>
      <c r="N68" s="64">
        <f t="shared" si="20"/>
        <v>0</v>
      </c>
      <c r="O68" s="385">
        <f t="shared" si="21"/>
        <v>0</v>
      </c>
      <c r="P68" s="399">
        <f t="shared" si="22"/>
        <v>0</v>
      </c>
      <c r="Q68" s="64">
        <f t="shared" si="12"/>
        <v>0</v>
      </c>
      <c r="R68" s="385">
        <f t="shared" si="23"/>
        <v>0</v>
      </c>
      <c r="S68" s="380">
        <f t="shared" si="24"/>
        <v>0</v>
      </c>
      <c r="T68" s="383">
        <f t="shared" si="13"/>
        <v>0</v>
      </c>
      <c r="U68" s="64">
        <f t="shared" si="25"/>
        <v>0</v>
      </c>
      <c r="V68" s="174">
        <f t="shared" si="26"/>
        <v>0</v>
      </c>
      <c r="W68" s="64">
        <f t="shared" si="14"/>
        <v>0</v>
      </c>
      <c r="X68" s="385">
        <f t="shared" si="27"/>
        <v>0</v>
      </c>
      <c r="Y68" s="79">
        <f t="shared" si="28"/>
        <v>0</v>
      </c>
      <c r="Z68" s="53">
        <f t="shared" si="15"/>
        <v>0</v>
      </c>
      <c r="AA68" s="79">
        <f t="shared" si="29"/>
        <v>0</v>
      </c>
      <c r="AB68" s="53">
        <f t="shared" si="16"/>
        <v>0</v>
      </c>
      <c r="AC68" s="79">
        <f t="shared" si="30"/>
        <v>0</v>
      </c>
      <c r="AD68" s="53">
        <f t="shared" si="17"/>
        <v>0</v>
      </c>
    </row>
    <row r="69" spans="1:31" s="2" customFormat="1" ht="18" hidden="1" customHeight="1">
      <c r="A69" s="84"/>
      <c r="B69" s="22"/>
      <c r="C69" s="146"/>
      <c r="D69" s="162"/>
      <c r="E69" s="159">
        <f>IF(E8&gt;$E$2+21,"",DATEDIF(E8,$E$2+21,"y"))</f>
        <v>118</v>
      </c>
      <c r="F69" s="159">
        <f>IF(F8&gt;$E$2+21,"",DATEDIF(F8,$E$2+21,"y"))</f>
        <v>118</v>
      </c>
      <c r="G69" s="159">
        <f>IF(G8&gt;$E$2+21,"",DATEDIF(G8,$E$2+21,"y"))</f>
        <v>118</v>
      </c>
      <c r="H69" s="159">
        <f>IF(H8&gt;$E$2+21,"",DATEDIF(H8,$E$2+21,"y"))</f>
        <v>118</v>
      </c>
      <c r="I69" s="160">
        <f>IF(I8&gt;$E$2+21,"",DATEDIF(I8,$E$2+21,"y"))</f>
        <v>118</v>
      </c>
      <c r="J69" s="571">
        <f t="shared" si="10"/>
        <v>0</v>
      </c>
      <c r="K69" s="64">
        <f t="shared" si="18"/>
        <v>0</v>
      </c>
      <c r="L69" s="385">
        <f t="shared" si="11"/>
        <v>0</v>
      </c>
      <c r="M69" s="391">
        <f t="shared" si="19"/>
        <v>0</v>
      </c>
      <c r="N69" s="64">
        <f t="shared" si="20"/>
        <v>0</v>
      </c>
      <c r="O69" s="385">
        <f t="shared" si="21"/>
        <v>0</v>
      </c>
      <c r="P69" s="399">
        <f t="shared" si="22"/>
        <v>0</v>
      </c>
      <c r="Q69" s="64">
        <f t="shared" si="12"/>
        <v>0</v>
      </c>
      <c r="R69" s="385">
        <f t="shared" si="23"/>
        <v>0</v>
      </c>
      <c r="S69" s="380">
        <f t="shared" si="24"/>
        <v>0</v>
      </c>
      <c r="T69" s="383">
        <f t="shared" si="13"/>
        <v>0</v>
      </c>
      <c r="U69" s="64">
        <f t="shared" si="25"/>
        <v>0</v>
      </c>
      <c r="V69" s="174">
        <f t="shared" si="26"/>
        <v>0</v>
      </c>
      <c r="W69" s="64">
        <f t="shared" si="14"/>
        <v>0</v>
      </c>
      <c r="X69" s="385">
        <f t="shared" si="27"/>
        <v>0</v>
      </c>
      <c r="Y69" s="79">
        <f t="shared" si="28"/>
        <v>0</v>
      </c>
      <c r="Z69" s="53">
        <f t="shared" si="15"/>
        <v>0</v>
      </c>
      <c r="AA69" s="79">
        <f t="shared" si="29"/>
        <v>0</v>
      </c>
      <c r="AB69" s="53">
        <f t="shared" si="16"/>
        <v>0</v>
      </c>
      <c r="AC69" s="79">
        <f t="shared" si="30"/>
        <v>0</v>
      </c>
      <c r="AD69" s="53">
        <f t="shared" si="17"/>
        <v>0</v>
      </c>
    </row>
    <row r="70" spans="1:31" s="2" customFormat="1" ht="18" hidden="1" customHeight="1">
      <c r="A70" s="84"/>
      <c r="B70" s="22"/>
      <c r="C70" s="146"/>
      <c r="D70" s="162"/>
      <c r="E70" s="159">
        <f>IF(E8&gt;$E$2+22,"",DATEDIF(E8,$E$2+22,"y"))</f>
        <v>118</v>
      </c>
      <c r="F70" s="159">
        <f>IF(F8&gt;$E$2+22,"",DATEDIF(F8,$E$2+22,"y"))</f>
        <v>118</v>
      </c>
      <c r="G70" s="159">
        <f>IF(G8&gt;$E$2+22,"",DATEDIF(G8,$E$2+22,"y"))</f>
        <v>118</v>
      </c>
      <c r="H70" s="159">
        <f>IF(H8&gt;$E$2+22,"",DATEDIF(H8,$E$2+22,"y"))</f>
        <v>118</v>
      </c>
      <c r="I70" s="160">
        <f>IF(I8&gt;$E$2+22,"",DATEDIF(I8,$E$2+22,"y"))</f>
        <v>118</v>
      </c>
      <c r="J70" s="571">
        <f t="shared" si="10"/>
        <v>0</v>
      </c>
      <c r="K70" s="64">
        <f t="shared" si="18"/>
        <v>0</v>
      </c>
      <c r="L70" s="385">
        <f t="shared" si="11"/>
        <v>0</v>
      </c>
      <c r="M70" s="391">
        <f t="shared" si="19"/>
        <v>0</v>
      </c>
      <c r="N70" s="64">
        <f t="shared" si="20"/>
        <v>0</v>
      </c>
      <c r="O70" s="385">
        <f t="shared" si="21"/>
        <v>0</v>
      </c>
      <c r="P70" s="399">
        <f t="shared" si="22"/>
        <v>0</v>
      </c>
      <c r="Q70" s="64">
        <f t="shared" si="12"/>
        <v>0</v>
      </c>
      <c r="R70" s="385">
        <f t="shared" si="23"/>
        <v>0</v>
      </c>
      <c r="S70" s="380">
        <f t="shared" si="24"/>
        <v>0</v>
      </c>
      <c r="T70" s="383">
        <f t="shared" si="13"/>
        <v>0</v>
      </c>
      <c r="U70" s="64">
        <f t="shared" si="25"/>
        <v>0</v>
      </c>
      <c r="V70" s="174">
        <f t="shared" si="26"/>
        <v>0</v>
      </c>
      <c r="W70" s="64">
        <f t="shared" si="14"/>
        <v>0</v>
      </c>
      <c r="X70" s="385">
        <f t="shared" si="27"/>
        <v>0</v>
      </c>
      <c r="Y70" s="79">
        <f t="shared" si="28"/>
        <v>0</v>
      </c>
      <c r="Z70" s="53">
        <f t="shared" si="15"/>
        <v>0</v>
      </c>
      <c r="AA70" s="79">
        <f t="shared" si="29"/>
        <v>0</v>
      </c>
      <c r="AB70" s="53">
        <f t="shared" si="16"/>
        <v>0</v>
      </c>
      <c r="AC70" s="79">
        <f t="shared" si="30"/>
        <v>0</v>
      </c>
      <c r="AD70" s="53">
        <f t="shared" si="17"/>
        <v>0</v>
      </c>
    </row>
    <row r="71" spans="1:31" s="2" customFormat="1" ht="18" hidden="1" customHeight="1">
      <c r="A71" s="84"/>
      <c r="B71" s="22"/>
      <c r="C71" s="146"/>
      <c r="D71" s="162"/>
      <c r="E71" s="159">
        <f>IF(E8&gt;$E$2+23,"",DATEDIF(E8,$E$2+23,"y"))</f>
        <v>118</v>
      </c>
      <c r="F71" s="159">
        <f>IF(F8&gt;$E$2+23,"",DATEDIF(F8,$E$2+23,"y"))</f>
        <v>118</v>
      </c>
      <c r="G71" s="159">
        <f>IF(G8&gt;$E$2+23,"",DATEDIF(G8,$E$2+23,"y"))</f>
        <v>118</v>
      </c>
      <c r="H71" s="159">
        <f>IF(H8&gt;$E$2+23,"",DATEDIF(H8,$E$2+23,"y"))</f>
        <v>118</v>
      </c>
      <c r="I71" s="160">
        <f>IF(I8&gt;$E$2+23,"",DATEDIF(I8,$E$2+23,"y"))</f>
        <v>118</v>
      </c>
      <c r="J71" s="571">
        <f t="shared" si="10"/>
        <v>0</v>
      </c>
      <c r="K71" s="64">
        <f t="shared" si="18"/>
        <v>0</v>
      </c>
      <c r="L71" s="385">
        <f t="shared" si="11"/>
        <v>0</v>
      </c>
      <c r="M71" s="391">
        <f t="shared" si="19"/>
        <v>0</v>
      </c>
      <c r="N71" s="64">
        <f t="shared" si="20"/>
        <v>0</v>
      </c>
      <c r="O71" s="385">
        <f t="shared" si="21"/>
        <v>0</v>
      </c>
      <c r="P71" s="399">
        <f t="shared" si="22"/>
        <v>0</v>
      </c>
      <c r="Q71" s="64">
        <f t="shared" si="12"/>
        <v>0</v>
      </c>
      <c r="R71" s="385">
        <f t="shared" si="23"/>
        <v>0</v>
      </c>
      <c r="S71" s="380">
        <f t="shared" si="24"/>
        <v>0</v>
      </c>
      <c r="T71" s="383">
        <f t="shared" si="13"/>
        <v>0</v>
      </c>
      <c r="U71" s="64">
        <f t="shared" si="25"/>
        <v>0</v>
      </c>
      <c r="V71" s="174">
        <f t="shared" si="26"/>
        <v>0</v>
      </c>
      <c r="W71" s="64">
        <f t="shared" si="14"/>
        <v>0</v>
      </c>
      <c r="X71" s="385">
        <f t="shared" si="27"/>
        <v>0</v>
      </c>
      <c r="Y71" s="79">
        <f t="shared" si="28"/>
        <v>0</v>
      </c>
      <c r="Z71" s="53">
        <f t="shared" si="15"/>
        <v>0</v>
      </c>
      <c r="AA71" s="79">
        <f t="shared" si="29"/>
        <v>0</v>
      </c>
      <c r="AB71" s="53">
        <f t="shared" si="16"/>
        <v>0</v>
      </c>
      <c r="AC71" s="79">
        <f t="shared" si="30"/>
        <v>0</v>
      </c>
      <c r="AD71" s="53">
        <f t="shared" si="17"/>
        <v>0</v>
      </c>
    </row>
    <row r="72" spans="1:31" s="2" customFormat="1" ht="18" hidden="1" customHeight="1">
      <c r="A72" s="84"/>
      <c r="B72" s="22"/>
      <c r="C72" s="146"/>
      <c r="D72" s="162"/>
      <c r="E72" s="159">
        <f>IF(E8&gt;$E$2+24,"",DATEDIF(E8,$E$2+24,"y"))</f>
        <v>118</v>
      </c>
      <c r="F72" s="159">
        <f>IF(F8&gt;$E$2+24,"",DATEDIF(F8,$E$2+24,"y"))</f>
        <v>118</v>
      </c>
      <c r="G72" s="159">
        <f>IF(G8&gt;$E$2+24,"",DATEDIF(G8,$E$2+24,"y"))</f>
        <v>118</v>
      </c>
      <c r="H72" s="159">
        <f>IF(H8&gt;$E$2+24,"",DATEDIF(H8,$E$2+24,"y"))</f>
        <v>118</v>
      </c>
      <c r="I72" s="160">
        <f>IF(I8&gt;$E$2+24,"",DATEDIF(I8,$E$2+24,"y"))</f>
        <v>118</v>
      </c>
      <c r="J72" s="571">
        <f t="shared" si="10"/>
        <v>0</v>
      </c>
      <c r="K72" s="64">
        <f t="shared" si="18"/>
        <v>0</v>
      </c>
      <c r="L72" s="385">
        <f t="shared" si="11"/>
        <v>0</v>
      </c>
      <c r="M72" s="391">
        <f t="shared" si="19"/>
        <v>0</v>
      </c>
      <c r="N72" s="64">
        <f t="shared" si="20"/>
        <v>0</v>
      </c>
      <c r="O72" s="385">
        <f t="shared" si="21"/>
        <v>0</v>
      </c>
      <c r="P72" s="399">
        <f t="shared" si="22"/>
        <v>0</v>
      </c>
      <c r="Q72" s="64">
        <f t="shared" si="12"/>
        <v>0</v>
      </c>
      <c r="R72" s="385">
        <f t="shared" si="23"/>
        <v>0</v>
      </c>
      <c r="S72" s="380">
        <f t="shared" si="24"/>
        <v>0</v>
      </c>
      <c r="T72" s="383">
        <f t="shared" si="13"/>
        <v>0</v>
      </c>
      <c r="U72" s="64">
        <f t="shared" si="25"/>
        <v>0</v>
      </c>
      <c r="V72" s="174">
        <f t="shared" si="26"/>
        <v>0</v>
      </c>
      <c r="W72" s="64">
        <f t="shared" si="14"/>
        <v>0</v>
      </c>
      <c r="X72" s="385">
        <f t="shared" si="27"/>
        <v>0</v>
      </c>
      <c r="Y72" s="79">
        <f t="shared" si="28"/>
        <v>0</v>
      </c>
      <c r="Z72" s="53">
        <f t="shared" si="15"/>
        <v>0</v>
      </c>
      <c r="AA72" s="79">
        <f t="shared" si="29"/>
        <v>0</v>
      </c>
      <c r="AB72" s="53">
        <f t="shared" si="16"/>
        <v>0</v>
      </c>
      <c r="AC72" s="79">
        <f t="shared" si="30"/>
        <v>0</v>
      </c>
      <c r="AD72" s="53">
        <f t="shared" si="17"/>
        <v>0</v>
      </c>
    </row>
    <row r="73" spans="1:31" s="2" customFormat="1" ht="18" hidden="1" customHeight="1">
      <c r="A73" s="84"/>
      <c r="B73" s="22"/>
      <c r="C73" s="146"/>
      <c r="D73" s="162"/>
      <c r="E73" s="159">
        <f>IF(E8&gt;$E$2+25,"",DATEDIF(E8,$E$2+25,"y"))</f>
        <v>118</v>
      </c>
      <c r="F73" s="159">
        <f>IF(F8&gt;$E$2+25,"",DATEDIF(F8,$E$2+25,"y"))</f>
        <v>118</v>
      </c>
      <c r="G73" s="159">
        <f>IF(G8&gt;$E$2+25,"",DATEDIF(G8,$E$2+25,"y"))</f>
        <v>118</v>
      </c>
      <c r="H73" s="159">
        <f>IF(H8&gt;$E$2+25,"",DATEDIF(H8,$E$2+25,"y"))</f>
        <v>118</v>
      </c>
      <c r="I73" s="160">
        <f>IF(I8&gt;$E$2+25,"",DATEDIF(I8,$E$2+25,"y"))</f>
        <v>118</v>
      </c>
      <c r="J73" s="571">
        <f t="shared" si="10"/>
        <v>0</v>
      </c>
      <c r="K73" s="64">
        <f t="shared" si="18"/>
        <v>0</v>
      </c>
      <c r="L73" s="385">
        <f t="shared" si="11"/>
        <v>0</v>
      </c>
      <c r="M73" s="391">
        <f t="shared" si="19"/>
        <v>0</v>
      </c>
      <c r="N73" s="64">
        <f t="shared" si="20"/>
        <v>0</v>
      </c>
      <c r="O73" s="385">
        <f t="shared" si="21"/>
        <v>0</v>
      </c>
      <c r="P73" s="399">
        <f t="shared" si="22"/>
        <v>0</v>
      </c>
      <c r="Q73" s="64">
        <f t="shared" si="12"/>
        <v>0</v>
      </c>
      <c r="R73" s="385">
        <f t="shared" si="23"/>
        <v>0</v>
      </c>
      <c r="S73" s="380">
        <f t="shared" si="24"/>
        <v>0</v>
      </c>
      <c r="T73" s="383">
        <f t="shared" si="13"/>
        <v>0</v>
      </c>
      <c r="U73" s="64">
        <f t="shared" si="25"/>
        <v>0</v>
      </c>
      <c r="V73" s="174">
        <f t="shared" si="26"/>
        <v>0</v>
      </c>
      <c r="W73" s="64">
        <f t="shared" si="14"/>
        <v>0</v>
      </c>
      <c r="X73" s="385">
        <f t="shared" si="27"/>
        <v>0</v>
      </c>
      <c r="Y73" s="79">
        <f t="shared" si="28"/>
        <v>0</v>
      </c>
      <c r="Z73" s="53">
        <f t="shared" si="15"/>
        <v>0</v>
      </c>
      <c r="AA73" s="79">
        <f t="shared" si="29"/>
        <v>0</v>
      </c>
      <c r="AB73" s="53">
        <f t="shared" si="16"/>
        <v>0</v>
      </c>
      <c r="AC73" s="79">
        <f t="shared" si="30"/>
        <v>0</v>
      </c>
      <c r="AD73" s="53">
        <f t="shared" si="17"/>
        <v>0</v>
      </c>
    </row>
    <row r="74" spans="1:31" s="2" customFormat="1" ht="18" hidden="1" customHeight="1">
      <c r="A74" s="84"/>
      <c r="B74" s="22"/>
      <c r="C74" s="146"/>
      <c r="D74" s="162"/>
      <c r="E74" s="159">
        <f>IF(E8&gt;$E$2+26,"",DATEDIF(E8,$E$2+26,"y"))</f>
        <v>118</v>
      </c>
      <c r="F74" s="159">
        <f>IF(F8&gt;$E$2+26,"",DATEDIF(F8,$E$2+26,"y"))</f>
        <v>118</v>
      </c>
      <c r="G74" s="159">
        <f>IF(G8&gt;$E$2+26,"",DATEDIF(G8,$E$2+26,"y"))</f>
        <v>118</v>
      </c>
      <c r="H74" s="159">
        <f>IF(H8&gt;$E$2+26,"",DATEDIF(H8,$E$2+26,"y"))</f>
        <v>118</v>
      </c>
      <c r="I74" s="160">
        <f>IF(I8&gt;$E$2+26,"",DATEDIF(I8,$E$2+26,"y"))</f>
        <v>118</v>
      </c>
      <c r="J74" s="571">
        <f t="shared" si="10"/>
        <v>0</v>
      </c>
      <c r="K74" s="64">
        <f t="shared" si="18"/>
        <v>0</v>
      </c>
      <c r="L74" s="385">
        <f t="shared" si="11"/>
        <v>0</v>
      </c>
      <c r="M74" s="391">
        <f t="shared" si="19"/>
        <v>0</v>
      </c>
      <c r="N74" s="64">
        <f t="shared" si="20"/>
        <v>0</v>
      </c>
      <c r="O74" s="385">
        <f t="shared" si="21"/>
        <v>0</v>
      </c>
      <c r="P74" s="399">
        <f t="shared" si="22"/>
        <v>0</v>
      </c>
      <c r="Q74" s="64">
        <f t="shared" si="12"/>
        <v>0</v>
      </c>
      <c r="R74" s="385">
        <f t="shared" si="23"/>
        <v>0</v>
      </c>
      <c r="S74" s="380">
        <f t="shared" si="24"/>
        <v>0</v>
      </c>
      <c r="T74" s="383">
        <f t="shared" si="13"/>
        <v>0</v>
      </c>
      <c r="U74" s="64">
        <f t="shared" si="25"/>
        <v>0</v>
      </c>
      <c r="V74" s="174">
        <f t="shared" si="26"/>
        <v>0</v>
      </c>
      <c r="W74" s="64">
        <f t="shared" si="14"/>
        <v>0</v>
      </c>
      <c r="X74" s="385">
        <f t="shared" si="27"/>
        <v>0</v>
      </c>
      <c r="Y74" s="79">
        <f t="shared" si="28"/>
        <v>0</v>
      </c>
      <c r="Z74" s="53">
        <f t="shared" si="15"/>
        <v>0</v>
      </c>
      <c r="AA74" s="79">
        <f t="shared" si="29"/>
        <v>0</v>
      </c>
      <c r="AB74" s="53">
        <f t="shared" si="16"/>
        <v>0</v>
      </c>
      <c r="AC74" s="79">
        <f t="shared" si="30"/>
        <v>0</v>
      </c>
      <c r="AD74" s="53">
        <f t="shared" si="17"/>
        <v>0</v>
      </c>
    </row>
    <row r="75" spans="1:31" s="2" customFormat="1" ht="18" hidden="1" customHeight="1">
      <c r="A75" s="84"/>
      <c r="B75" s="22"/>
      <c r="C75" s="146"/>
      <c r="D75" s="162"/>
      <c r="E75" s="159">
        <f>IF(E8&gt;$E$2+27,"",DATEDIF(E8,$E$2+27,"y"))</f>
        <v>118</v>
      </c>
      <c r="F75" s="159">
        <f>IF(F8&gt;$E$2+27,"",DATEDIF(F8,$E$2+27,"y"))</f>
        <v>118</v>
      </c>
      <c r="G75" s="159">
        <f>IF(G8&gt;$E$2+27,"",DATEDIF(G8,$E$2+27,"y"))</f>
        <v>118</v>
      </c>
      <c r="H75" s="159">
        <f>IF(H8&gt;$E$2+27,"",DATEDIF(H8,$E$2+27,"y"))</f>
        <v>118</v>
      </c>
      <c r="I75" s="160">
        <f>IF(I8&gt;$E$2+27,"",DATEDIF(I8,$E$2+27,"y"))</f>
        <v>118</v>
      </c>
      <c r="J75" s="571">
        <f t="shared" si="10"/>
        <v>0</v>
      </c>
      <c r="K75" s="64">
        <f t="shared" si="18"/>
        <v>0</v>
      </c>
      <c r="L75" s="385">
        <f t="shared" si="11"/>
        <v>0</v>
      </c>
      <c r="M75" s="391">
        <f t="shared" si="19"/>
        <v>0</v>
      </c>
      <c r="N75" s="64">
        <f t="shared" si="20"/>
        <v>0</v>
      </c>
      <c r="O75" s="385">
        <f t="shared" si="21"/>
        <v>0</v>
      </c>
      <c r="P75" s="399">
        <f t="shared" si="22"/>
        <v>0</v>
      </c>
      <c r="Q75" s="64">
        <f t="shared" si="12"/>
        <v>0</v>
      </c>
      <c r="R75" s="385">
        <f t="shared" si="23"/>
        <v>0</v>
      </c>
      <c r="S75" s="380">
        <f t="shared" si="24"/>
        <v>0</v>
      </c>
      <c r="T75" s="383">
        <f t="shared" si="13"/>
        <v>0</v>
      </c>
      <c r="U75" s="64">
        <f t="shared" si="25"/>
        <v>0</v>
      </c>
      <c r="V75" s="174">
        <f t="shared" si="26"/>
        <v>0</v>
      </c>
      <c r="W75" s="64">
        <f t="shared" si="14"/>
        <v>0</v>
      </c>
      <c r="X75" s="385">
        <f t="shared" si="27"/>
        <v>0</v>
      </c>
      <c r="Y75" s="79">
        <f t="shared" si="28"/>
        <v>0</v>
      </c>
      <c r="Z75" s="53">
        <f t="shared" si="15"/>
        <v>0</v>
      </c>
      <c r="AA75" s="79">
        <f t="shared" si="29"/>
        <v>0</v>
      </c>
      <c r="AB75" s="53">
        <f t="shared" si="16"/>
        <v>0</v>
      </c>
      <c r="AC75" s="79">
        <f t="shared" si="30"/>
        <v>0</v>
      </c>
      <c r="AD75" s="53">
        <f t="shared" si="17"/>
        <v>0</v>
      </c>
    </row>
    <row r="76" spans="1:31" s="2" customFormat="1" ht="18" hidden="1" customHeight="1">
      <c r="A76" s="84"/>
      <c r="B76" s="22"/>
      <c r="C76" s="146"/>
      <c r="D76" s="162"/>
      <c r="E76" s="159">
        <f>IF(E8&gt;$E$2+28,"",DATEDIF(E8,$E$2+28,"y"))</f>
        <v>118</v>
      </c>
      <c r="F76" s="159">
        <f>IF(F8&gt;$E$2+28,"",DATEDIF(F8,$E$2+28,"y"))</f>
        <v>118</v>
      </c>
      <c r="G76" s="159">
        <f>IF(G8&gt;$E$2+28,"",DATEDIF(G8,$E$2+28,"y"))</f>
        <v>118</v>
      </c>
      <c r="H76" s="159">
        <f>IF(H8&gt;$E$2+28,"",DATEDIF(H8,$E$2+28,"y"))</f>
        <v>118</v>
      </c>
      <c r="I76" s="160">
        <f>IF(I8&gt;$E$2+28,"",DATEDIF(I8,$E$2+28,"y"))</f>
        <v>118</v>
      </c>
      <c r="J76" s="571">
        <f>IF(AND(I2="Februar",G2&lt;29),"",COUNTIF(E76:I76,"&lt;7"))</f>
        <v>0</v>
      </c>
      <c r="K76" s="64">
        <f t="shared" si="18"/>
        <v>0</v>
      </c>
      <c r="L76" s="385">
        <f t="shared" si="11"/>
        <v>0</v>
      </c>
      <c r="M76" s="391">
        <f>IF(AND(I2="Februar",G2&lt;29),"",SUMPRODUCT((E76:I76&gt;6)*(E76:I76&lt;18)))</f>
        <v>0</v>
      </c>
      <c r="N76" s="64">
        <f t="shared" si="20"/>
        <v>0</v>
      </c>
      <c r="O76" s="385">
        <f t="shared" si="21"/>
        <v>0</v>
      </c>
      <c r="P76" s="399">
        <f>IF(AND(I2="Februar",G2&lt;29),"",COUNTIF(E76:I76,"&lt;16"))</f>
        <v>0</v>
      </c>
      <c r="Q76" s="64">
        <f t="shared" si="12"/>
        <v>0</v>
      </c>
      <c r="R76" s="385">
        <f t="shared" si="23"/>
        <v>0</v>
      </c>
      <c r="S76" s="380">
        <f>IF(AND(I2="Februar",G2&lt;29),"",SUMPRODUCT((E76:I76&gt;15)*(E76:I76&lt;18)))</f>
        <v>0</v>
      </c>
      <c r="T76" s="383">
        <f t="shared" si="13"/>
        <v>0</v>
      </c>
      <c r="U76" s="64">
        <f t="shared" si="25"/>
        <v>0</v>
      </c>
      <c r="V76" s="174">
        <f>IF(AND(I2="Februar",G2&lt;29),"",SUMPRODUCT((E76:I76&gt;6)*(E76:I76&lt;16))+SUMPRODUCT((E76:I76&gt;15)*(E76:I76&lt;18)))</f>
        <v>0</v>
      </c>
      <c r="W76" s="64">
        <f t="shared" si="14"/>
        <v>0</v>
      </c>
      <c r="X76" s="385">
        <f t="shared" si="27"/>
        <v>0</v>
      </c>
      <c r="Y76" s="79">
        <f>IF(AND(I2="Februar",G2&lt;29),"",COUNTIF(E76:I76,"&lt;18"))</f>
        <v>0</v>
      </c>
      <c r="Z76" s="53">
        <f t="shared" si="15"/>
        <v>0</v>
      </c>
      <c r="AA76" s="79">
        <f>IF(AND(I2="Februar",G2&lt;29),"",COUNTIF(E76:I76,"&lt;18"))</f>
        <v>0</v>
      </c>
      <c r="AB76" s="53">
        <f t="shared" si="16"/>
        <v>0</v>
      </c>
      <c r="AC76" s="79">
        <f>IF(AND(I2="Februar",G2&lt;29),"",COUNTIF(E76:I76,"&lt;18"))</f>
        <v>0</v>
      </c>
      <c r="AD76" s="53">
        <f t="shared" si="17"/>
        <v>0</v>
      </c>
    </row>
    <row r="77" spans="1:31" s="2" customFormat="1" ht="18" hidden="1" customHeight="1">
      <c r="A77" s="84"/>
      <c r="B77" s="22"/>
      <c r="C77" s="146"/>
      <c r="D77" s="162"/>
      <c r="E77" s="159">
        <f>IF(E8&gt;$E$2+29,"",DATEDIF(E8,$E$2+29,"y"))</f>
        <v>118</v>
      </c>
      <c r="F77" s="159">
        <f>IF(F8&gt;$E$2+29,"",DATEDIF(F8,$E$2+29,"y"))</f>
        <v>118</v>
      </c>
      <c r="G77" s="159">
        <f>IF(G8&gt;$E$2+29,"",DATEDIF(G8,$E$2+29,"y"))</f>
        <v>118</v>
      </c>
      <c r="H77" s="159">
        <f>IF(H8&gt;$E$2+29,"",DATEDIF(H8,$E$2+29,"y"))</f>
        <v>118</v>
      </c>
      <c r="I77" s="160">
        <f>IF(I8&gt;$E$2+29,"",DATEDIF(I8,$E$2+29,"y"))</f>
        <v>118</v>
      </c>
      <c r="J77" s="571">
        <f>IF(I2="Februar","",COUNTIF(E77:I77,"&lt;7"))</f>
        <v>0</v>
      </c>
      <c r="K77" s="64">
        <f t="shared" si="18"/>
        <v>0</v>
      </c>
      <c r="L77" s="385">
        <f t="shared" si="11"/>
        <v>0</v>
      </c>
      <c r="M77" s="391">
        <f>IF(I2="Februar","",SUMPRODUCT((E77:I77&gt;6)*(E77:I77&lt;18)))</f>
        <v>0</v>
      </c>
      <c r="N77" s="64">
        <f t="shared" si="20"/>
        <v>0</v>
      </c>
      <c r="O77" s="385">
        <f t="shared" si="21"/>
        <v>0</v>
      </c>
      <c r="P77" s="399">
        <f>IF(I2="Februar","",COUNTIF(E77:I77,"&lt;16"))</f>
        <v>0</v>
      </c>
      <c r="Q77" s="64">
        <f t="shared" si="12"/>
        <v>0</v>
      </c>
      <c r="R77" s="385">
        <f t="shared" si="23"/>
        <v>0</v>
      </c>
      <c r="S77" s="380">
        <f>IF(I2="Februar","",SUMPRODUCT((E77:I77&gt;15)*(E77:I77&lt;18)))</f>
        <v>0</v>
      </c>
      <c r="T77" s="383">
        <f t="shared" si="13"/>
        <v>0</v>
      </c>
      <c r="U77" s="64">
        <f t="shared" si="25"/>
        <v>0</v>
      </c>
      <c r="V77" s="174">
        <f>IF(I2="Februar","",SUMPRODUCT((E77:I77&gt;6)*(E77:I77&lt;16))+SUMPRODUCT((E77:I77&gt;15)*(E77:I77&lt;18)))</f>
        <v>0</v>
      </c>
      <c r="W77" s="64">
        <f t="shared" si="14"/>
        <v>0</v>
      </c>
      <c r="X77" s="385">
        <f t="shared" si="27"/>
        <v>0</v>
      </c>
      <c r="Y77" s="79">
        <f>IF(I2="Februar","",COUNTIF(E77:I77,"&lt;18"))</f>
        <v>0</v>
      </c>
      <c r="Z77" s="53">
        <f t="shared" si="15"/>
        <v>0</v>
      </c>
      <c r="AA77" s="79">
        <f>IF(I2="Februar","",COUNTIF(E77:I77,"&lt;18"))</f>
        <v>0</v>
      </c>
      <c r="AB77" s="53">
        <f t="shared" si="16"/>
        <v>0</v>
      </c>
      <c r="AC77" s="79">
        <f>IF(I2="Februar","",COUNTIF(E77:I77,"&lt;18"))</f>
        <v>0</v>
      </c>
      <c r="AD77" s="53">
        <f t="shared" si="17"/>
        <v>0</v>
      </c>
    </row>
    <row r="78" spans="1:31" s="2" customFormat="1" ht="18" hidden="1" customHeight="1">
      <c r="A78" s="84"/>
      <c r="B78" s="22"/>
      <c r="C78" s="146"/>
      <c r="D78" s="162"/>
      <c r="E78" s="159">
        <f>IF(E8&gt;$E$2+30,"",DATEDIF(E8,$E$2+30,"y"))</f>
        <v>118</v>
      </c>
      <c r="F78" s="159">
        <f>IF(F8&gt;$E$2+30,"",DATEDIF(F8,$E$2+30,"y"))</f>
        <v>118</v>
      </c>
      <c r="G78" s="159">
        <f>IF(G8&gt;$E$2+30,"",DATEDIF(G8,$E$2+30,"y"))</f>
        <v>118</v>
      </c>
      <c r="H78" s="159">
        <f>IF(H8&gt;$E$2+30,"",DATEDIF(H8,$E$2+30,"y"))</f>
        <v>118</v>
      </c>
      <c r="I78" s="160">
        <f>IF(I8&gt;$E$2+30,"",DATEDIF(I8,$E$2+30,"y"))</f>
        <v>118</v>
      </c>
      <c r="J78" s="571" t="str">
        <f>IF(G2&lt;31,"",COUNTIF(E78:I78,"&lt;7"))</f>
        <v/>
      </c>
      <c r="K78" s="64">
        <f t="shared" si="18"/>
        <v>0</v>
      </c>
      <c r="L78" s="385">
        <f t="shared" si="11"/>
        <v>0</v>
      </c>
      <c r="M78" s="395" t="str">
        <f>IF(G2&lt;31,"",SUMPRODUCT((E78:I78&gt;6)*(E78:I78&lt;18)))</f>
        <v/>
      </c>
      <c r="N78" s="396">
        <f t="shared" si="20"/>
        <v>0</v>
      </c>
      <c r="O78" s="385">
        <f t="shared" si="21"/>
        <v>0</v>
      </c>
      <c r="P78" s="399" t="str">
        <f>IF(G2&lt;31,"",COUNTIF(E78:I78,"&lt;16"))</f>
        <v/>
      </c>
      <c r="Q78" s="64">
        <f t="shared" si="12"/>
        <v>0</v>
      </c>
      <c r="R78" s="385">
        <f t="shared" si="23"/>
        <v>0</v>
      </c>
      <c r="S78" s="380" t="str">
        <f>IF(G2&lt;31,"",SUMPRODUCT((E78:I78&gt;15)*(E78:I78&lt;18)))</f>
        <v/>
      </c>
      <c r="T78" s="383">
        <f t="shared" si="13"/>
        <v>0</v>
      </c>
      <c r="U78" s="64">
        <f t="shared" si="25"/>
        <v>0</v>
      </c>
      <c r="V78" s="174" t="str">
        <f>IF(G2&lt;31,"",SUMPRODUCT((E78:I78&gt;6)*(E78:I78&lt;16))+SUMPRODUCT((E78:I78&gt;15)*(E78:I78&lt;18)))</f>
        <v/>
      </c>
      <c r="W78" s="64">
        <f t="shared" si="14"/>
        <v>0</v>
      </c>
      <c r="X78" s="385">
        <f t="shared" si="27"/>
        <v>0</v>
      </c>
      <c r="Y78" s="79" t="str">
        <f>IF(G2&lt;31,"",COUNTIF(E78:I78,"&lt;18"))</f>
        <v/>
      </c>
      <c r="Z78" s="53">
        <f t="shared" si="15"/>
        <v>0</v>
      </c>
      <c r="AA78" s="79" t="str">
        <f>IF(G2&lt;31,"",COUNTIF(E78:I78,"&lt;18"))</f>
        <v/>
      </c>
      <c r="AB78" s="53">
        <f t="shared" si="16"/>
        <v>0</v>
      </c>
      <c r="AC78" s="79" t="str">
        <f>IF(G2&lt;31,"",COUNTIF(E78:I78,"&lt;18"))</f>
        <v/>
      </c>
      <c r="AD78" s="53">
        <f t="shared" si="17"/>
        <v>0</v>
      </c>
    </row>
    <row r="79" spans="1:31" s="2" customFormat="1" ht="20.100000000000001" hidden="1" customHeight="1">
      <c r="A79" s="111"/>
      <c r="B79" s="3"/>
      <c r="C79" s="25"/>
      <c r="D79" s="365"/>
      <c r="E79" s="37"/>
      <c r="F79" s="22"/>
      <c r="G79" s="37"/>
      <c r="H79" s="24"/>
      <c r="I79" s="573">
        <f>IF(AND(J33&gt;0,N33=0,Q33&gt;K33),H87*(F13-1)/30+H79,H79)</f>
        <v>0</v>
      </c>
      <c r="J79" s="572"/>
      <c r="K79" s="386"/>
      <c r="L79" s="379">
        <f>COUNTIF(L48:L78,"&gt;0")</f>
        <v>0</v>
      </c>
      <c r="M79" s="393"/>
      <c r="N79" s="392"/>
      <c r="O79" s="394">
        <f>COUNTIF(O48:O78,"&gt;0")</f>
        <v>0</v>
      </c>
      <c r="P79" s="400"/>
      <c r="Q79" s="390"/>
      <c r="R79" s="390">
        <f>COUNTIF(R48:R78,"&gt;0")</f>
        <v>0</v>
      </c>
      <c r="S79" s="381"/>
      <c r="T79" s="4"/>
      <c r="U79" s="387">
        <f>COUNTIF(U48:U78,"&gt;0")</f>
        <v>0</v>
      </c>
      <c r="V79" s="389"/>
      <c r="W79" s="386"/>
      <c r="X79" s="390">
        <f>COUNTIF(X48:X78,"&gt;0")</f>
        <v>0</v>
      </c>
      <c r="Y79" s="381"/>
      <c r="Z79" s="379">
        <f>COUNTIF(Z48:Z78,"&gt;0")</f>
        <v>0</v>
      </c>
      <c r="AA79" s="381"/>
      <c r="AB79" s="379">
        <f>COUNTIF(AB48:AB78,"&gt;0")</f>
        <v>0</v>
      </c>
      <c r="AC79" s="381"/>
      <c r="AD79" s="379">
        <f>COUNTIF(AD48:AD78,"&gt;0")</f>
        <v>0</v>
      </c>
      <c r="AE79" s="367">
        <f>SUM(L79:AD79)</f>
        <v>0</v>
      </c>
    </row>
    <row r="80" spans="1:31" s="2" customFormat="1" ht="20.100000000000001" hidden="1" customHeight="1">
      <c r="A80" s="111"/>
      <c r="B80" s="22"/>
      <c r="C80" s="25"/>
      <c r="D80" s="3"/>
      <c r="E80" s="3"/>
      <c r="F80" s="20"/>
      <c r="G80" s="24"/>
      <c r="H80" s="24"/>
      <c r="I80" s="53"/>
      <c r="J80" s="363"/>
      <c r="L80" s="363">
        <f>$C$23*36%</f>
        <v>147.23999999999998</v>
      </c>
      <c r="M80" s="363"/>
      <c r="O80" s="363">
        <f>$C$23*12%</f>
        <v>49.08</v>
      </c>
      <c r="P80" s="363"/>
      <c r="R80" s="363">
        <f>$C$23*36%</f>
        <v>147.23999999999998</v>
      </c>
      <c r="S80" s="363"/>
      <c r="U80" s="363">
        <f>$C$23*24%</f>
        <v>98.16</v>
      </c>
      <c r="V80" s="363"/>
      <c r="X80" s="363">
        <f>$C$23*24%</f>
        <v>98.16</v>
      </c>
      <c r="Y80" s="363"/>
      <c r="Z80" s="363">
        <f>$C$23*36%</f>
        <v>147.23999999999998</v>
      </c>
      <c r="AA80" s="363"/>
      <c r="AB80" s="363">
        <f>$C$23*48%</f>
        <v>196.32</v>
      </c>
      <c r="AC80" s="363"/>
      <c r="AD80" s="363">
        <f>$C$23*60%</f>
        <v>245.39999999999998</v>
      </c>
    </row>
    <row r="81" spans="1:31" s="2" customFormat="1" ht="20.100000000000001" hidden="1" customHeight="1">
      <c r="A81" s="111"/>
      <c r="B81" s="22"/>
      <c r="C81" s="25"/>
      <c r="D81" s="3"/>
      <c r="E81" s="3"/>
      <c r="F81" s="20"/>
      <c r="G81" s="24"/>
      <c r="H81" s="24"/>
      <c r="I81" s="53"/>
      <c r="J81" s="363"/>
      <c r="L81" s="368">
        <f>IF(AND($AE$47=1,$AE$79&gt;30,L48=0),L79-1,IF(AND($AE$47=1,$AE$79=28,L48=0),L79+2,IF(AND($AE$47=1,$AE$79=29,L48=0),L79+1,L79)))</f>
        <v>0</v>
      </c>
      <c r="M81" s="368"/>
      <c r="O81" s="368">
        <f>IF(AND($AE$47=1,$AE$79&gt;30,O48=0),O79-1,IF(AND($AE$47=1,$AE$79=28,O48=0),O79+2,IF(AND($AE$47=1,$AE$79=29,O48=0),O79+1,O79)))</f>
        <v>0</v>
      </c>
      <c r="P81" s="368"/>
      <c r="Q81" s="368"/>
      <c r="R81" s="368">
        <f>IF(AND($AE$47=1,$AE$79&gt;30,R48=0),R79-1,IF(AND($AE$47=1,$AE$79=28,R48=0),R79+2,IF(AND($AE$47=1,$AE$79=29,R48=0),R79+1,R79)))</f>
        <v>0</v>
      </c>
      <c r="S81" s="368"/>
      <c r="U81" s="368">
        <f>IF(AND($AE$47=1,$AE$79&gt;30,U48=0),U79-1,IF(AND($AE$47=1,$AE$79=28,U48=0),U79+2,IF(AND($AE$47=1,$AE$79=29,U48=0),U79+1,U79)))</f>
        <v>0</v>
      </c>
      <c r="V81" s="368"/>
      <c r="X81" s="368">
        <f>IF(AND($AE$47=1,$AE$79&gt;30,X48=0),X79-1,IF(AND($AE$47=1,$AE$79=28,X48=0),X79+2,IF(AND($AE$47=1,$AE$79=29,X48=0),X79+1,X79)))</f>
        <v>0</v>
      </c>
      <c r="Y81" s="368"/>
      <c r="Z81" s="368">
        <f>IF(AND($AE$47=1,$AE$79&gt;30,Z48=0),Z79-1,IF(AND($AE$47=1,$AE$79=28,Z48=0),Z79+2,IF(AND($AE$47=1,$AE$79=29,Z48=0),Z79+1,Z79)))</f>
        <v>0</v>
      </c>
      <c r="AA81" s="368"/>
      <c r="AB81" s="368">
        <f>IF(AND($AE$47=1,$AE$79&gt;30,AB48=0),AB79-1,IF(AND($AE$47=1,$AE$79=28,AB48=0),AB79+2,IF(AND($AE$47=1,$AE$79=29,AB48=0),AB79+1,AB79)))</f>
        <v>0</v>
      </c>
      <c r="AC81" s="368"/>
      <c r="AD81" s="368">
        <f>IF(AND($AE$47=1,$AE$79&gt;30,AD48=0),AD79-1,IF(AND($AE$47=1,$AE$79=28,AD48=0),AD79+2,IF(AND($AE$47=1,$AE$79=29,AD48=0),AD79+1,AD79)))</f>
        <v>0</v>
      </c>
    </row>
    <row r="82" spans="1:31" s="2" customFormat="1" ht="20.100000000000001" hidden="1" customHeight="1">
      <c r="A82" s="111"/>
      <c r="B82" s="22"/>
      <c r="C82" s="25"/>
      <c r="D82" s="3"/>
      <c r="E82" s="3"/>
      <c r="F82" s="20"/>
      <c r="G82" s="24"/>
      <c r="H82" s="24"/>
      <c r="I82" s="53"/>
      <c r="J82" s="363"/>
      <c r="L82" s="368">
        <f>IF(AND($AE$79&gt;30,L79=L81),30,IF(AND($AE$79=28,$I$2="februar",L79=L81),30,IF(AND($AE$79=29,$I$2="Februar"),30,L81)))</f>
        <v>0</v>
      </c>
      <c r="M82" s="368"/>
      <c r="O82" s="368">
        <f>IF(AND($AE$79&gt;30,O79=O81),30,IF(AND($AE$79=28,$I$2="februar",O79=O81),30,IF(AND($AE$79=29,$I$2="Februar"),30,O81)))</f>
        <v>0</v>
      </c>
      <c r="P82" s="368"/>
      <c r="Q82" s="368"/>
      <c r="R82" s="368">
        <f>IF(AND($AE$79&gt;30,R79=R81),30,IF(AND($AE$79=28,$I$2="februar",R79=R81),30,IF(AND($AE$79=29,$I$2="Februar"),30,R81)))</f>
        <v>0</v>
      </c>
      <c r="S82" s="368"/>
      <c r="U82" s="368">
        <f>IF(AND($AE$79&gt;30,U79=U81),30,IF(AND($AE$79=28,$I$2="februar",U79=U81),30,IF(AND($AE$79=29,$I$2="Februar"),30,U81)))</f>
        <v>0</v>
      </c>
      <c r="V82" s="368"/>
      <c r="X82" s="368">
        <f>IF(AND($AE$79&gt;30,X79=X81),30,IF(AND($AE$79=28,$I$2="februar",X79=X81),30,IF(AND($AE$79=29,$I$2="Februar"),30,X81)))</f>
        <v>0</v>
      </c>
      <c r="Y82" s="368"/>
      <c r="Z82" s="368">
        <f>IF(AND($AE$79&gt;30,Z79=Z81),30,IF(AND($AE$79=28,$I$2="februar",Z79=Z81),30,IF(AND($AE$79=29,$I$2="Februar"),30,Z81)))</f>
        <v>0</v>
      </c>
      <c r="AA82" s="368"/>
      <c r="AB82" s="368">
        <f>IF(AND($AE$79&gt;30,AB79=AB81),30,IF(AND($AE$79=28,$I$2="februar",AB79=AB81),30,IF(AND($AE$79=29,$I$2="Februar"),30,AB81)))</f>
        <v>0</v>
      </c>
      <c r="AC82" s="368"/>
      <c r="AD82" s="368">
        <f>IF(AND($AE$79&gt;30,AD79=AD81),30,IF(AND($AE$79=28,$I$2="februar",AD79=AD81),30,IF(AND($AE$79=29,$I$2="Februar"),30,AD81)))</f>
        <v>0</v>
      </c>
    </row>
    <row r="83" spans="1:31" s="2" customFormat="1" ht="20.100000000000001" hidden="1" customHeight="1">
      <c r="A83" s="111"/>
      <c r="B83" s="22"/>
      <c r="C83" s="25"/>
      <c r="D83" s="3"/>
      <c r="E83" s="3"/>
      <c r="F83" s="20"/>
      <c r="G83" s="24"/>
      <c r="H83" s="24"/>
      <c r="I83" s="53"/>
      <c r="J83" s="363"/>
      <c r="L83" s="368">
        <f>IF(OR(Q89&gt;0,O84&gt;0),L81,L82)</f>
        <v>0</v>
      </c>
      <c r="M83" s="368"/>
      <c r="N83" s="368"/>
      <c r="O83" s="368">
        <f>IF(R80&lt;&gt;Q89,O81,O82)</f>
        <v>0</v>
      </c>
      <c r="P83" s="368"/>
      <c r="Q83" s="368"/>
      <c r="R83" s="368">
        <f>IF(OR(X90&gt;0,Z86&gt;0),R81,R82)</f>
        <v>0</v>
      </c>
      <c r="S83" s="368"/>
      <c r="U83" s="368">
        <f>IF(O84&gt;0,U81,U82)</f>
        <v>0</v>
      </c>
      <c r="V83" s="368"/>
      <c r="X83" s="368">
        <f>IF(AND(Z79&gt;0,U79&gt;0),X81,IF(Z79&gt;0,X81,X82))</f>
        <v>0</v>
      </c>
      <c r="Y83" s="368"/>
      <c r="Z83" s="368">
        <f>IF(AB84&gt;0,Z81,Z82)</f>
        <v>0</v>
      </c>
      <c r="AA83" s="368"/>
      <c r="AB83" s="368">
        <f>IF(AD83&gt;0,AB81,AB82)</f>
        <v>0</v>
      </c>
      <c r="AC83" s="368"/>
      <c r="AD83" s="363">
        <f>IF(AD79=0,0,AD80/$H$2*AD82)</f>
        <v>0</v>
      </c>
    </row>
    <row r="84" spans="1:31" s="2" customFormat="1" ht="20.100000000000001" hidden="1" customHeight="1">
      <c r="A84" s="111"/>
      <c r="B84" s="22"/>
      <c r="C84" s="25"/>
      <c r="D84" s="3"/>
      <c r="E84" s="3"/>
      <c r="F84" s="20"/>
      <c r="G84" s="24"/>
      <c r="H84" s="24"/>
      <c r="I84" s="53"/>
      <c r="J84" s="363"/>
      <c r="L84" s="368">
        <f>IF(Z86&gt;0,L81,L83)</f>
        <v>0</v>
      </c>
      <c r="M84" s="368"/>
      <c r="N84" s="368"/>
      <c r="O84" s="363">
        <f>IF(O79=0,0,O80/$H$2*O83)</f>
        <v>0</v>
      </c>
      <c r="P84" s="368"/>
      <c r="Q84" s="368"/>
      <c r="R84" s="368">
        <f>IF(AND($AE$79&gt;30,R78=0),R79,IF(AND($AE$79=28,$I$2="februar",R75=0),R79,IF(AND($AE$79=29,$I$2="Februar",R76=0),R79,R83)))</f>
        <v>0</v>
      </c>
      <c r="S84" s="368"/>
      <c r="T84" s="368"/>
      <c r="U84" s="368">
        <f>IF(Z86&gt;0,U81,U83)</f>
        <v>0</v>
      </c>
      <c r="V84" s="368"/>
      <c r="X84" s="368">
        <f>IF(AND($AE$79&gt;30,X78=0),X79,IF(AND($AE$79=28,$I$2="februar",X75=0),X79,IF(AND($AE$79=29,$I$2="Februar",X76=0),X79,X83)))</f>
        <v>0</v>
      </c>
      <c r="Y84" s="368"/>
      <c r="Z84" s="368">
        <f>IF(X90&gt;0,Z81,Z83)</f>
        <v>0</v>
      </c>
      <c r="AA84" s="368"/>
      <c r="AB84" s="363">
        <f>IF(AB79=0,0,AB80/$H$2*AB83)</f>
        <v>0</v>
      </c>
      <c r="AC84" s="368"/>
      <c r="AD84" s="398">
        <f>IF(AND($AE$79&gt;30,AD78=0),AD80/30*AD79,IF(AND($AE$79=28,$I$2="februar",AD75=0),AD80/30*AD79,IF(AND($AE$79=29,$I$2="Februar",AD76=0),AD80/30*AD79,AD83)))</f>
        <v>0</v>
      </c>
    </row>
    <row r="85" spans="1:31" s="2" customFormat="1" ht="20.100000000000001" hidden="1" customHeight="1">
      <c r="A85" s="111"/>
      <c r="B85" s="22"/>
      <c r="C85" s="25"/>
      <c r="D85" s="3"/>
      <c r="E85" s="3"/>
      <c r="F85" s="20"/>
      <c r="G85" s="24"/>
      <c r="H85" s="24"/>
      <c r="I85" s="53"/>
      <c r="J85" s="363"/>
      <c r="L85" s="368">
        <f>IF(AND($AE$79&gt;30,L78=0),L79,IF(AND($AE$79=28,$I$2="februar",L75=0),L79,IF(AND($AE$79=29,$I$2="Februar",L76=0),L79,L84)))</f>
        <v>0</v>
      </c>
      <c r="M85" s="368"/>
      <c r="N85" s="368"/>
      <c r="O85" s="398">
        <f>IF(AND($AE$79&gt;30,O78=0),O80/30*O79,IF(AND($AE$79=28,$I$2="februar",O75=0),O80/30*O79,IF(AND($AE$79=29,$I$2="Februar",O76=0),O80/30*O79,O84)))</f>
        <v>0</v>
      </c>
      <c r="P85" s="368"/>
      <c r="Q85" s="368"/>
      <c r="R85" s="368"/>
      <c r="S85" s="368"/>
      <c r="T85" s="368"/>
      <c r="U85" s="368">
        <f>IF(AND($AE$79&gt;30,U78=0),U79,IF(AND($AE$79=28,$I$2="februar",U75=0),U79,IF(AND($AE$79=29,$I$2="Februar",U76=0),U79,U84)))</f>
        <v>0</v>
      </c>
      <c r="V85" s="368"/>
      <c r="X85" s="368"/>
      <c r="Y85" s="368"/>
      <c r="Z85" s="368">
        <f>IF(O79&gt;0,Z81,Z84)</f>
        <v>0</v>
      </c>
      <c r="AA85" s="368"/>
      <c r="AB85" s="363">
        <f>IF(AND(AB48&gt;0,Z86&lt;Z80),AB84/$H$2*AB81,AB84)</f>
        <v>0</v>
      </c>
      <c r="AC85" s="368"/>
      <c r="AD85" s="368"/>
    </row>
    <row r="86" spans="1:31" s="2" customFormat="1" ht="20.100000000000001" hidden="1" customHeight="1">
      <c r="A86" s="111"/>
      <c r="B86" s="22"/>
      <c r="C86" s="25"/>
      <c r="D86" s="3"/>
      <c r="E86" s="3"/>
      <c r="F86" s="20"/>
      <c r="G86" s="24"/>
      <c r="H86" s="24"/>
      <c r="I86" s="53"/>
      <c r="J86" s="363"/>
      <c r="L86" s="368"/>
      <c r="M86" s="368"/>
      <c r="N86" s="368"/>
      <c r="O86" s="398">
        <f>IF(AND(I2="Februar",O79&gt;27,O48&gt;0),O80,O85)</f>
        <v>0</v>
      </c>
      <c r="P86" s="368"/>
      <c r="Q86" s="368"/>
      <c r="R86" s="368"/>
      <c r="S86" s="368"/>
      <c r="T86" s="368"/>
      <c r="U86" s="368"/>
      <c r="V86" s="368"/>
      <c r="X86" s="368"/>
      <c r="Y86" s="368"/>
      <c r="Z86" s="363">
        <f>IF(Z79=0,0,Z80/$H$2*Z85)</f>
        <v>0</v>
      </c>
      <c r="AA86" s="368"/>
      <c r="AB86" s="363">
        <f>IF(AD83&lt;AD80,AB84,AB85)</f>
        <v>0</v>
      </c>
      <c r="AC86" s="368"/>
    </row>
    <row r="87" spans="1:31" s="2" customFormat="1" ht="20.100000000000001" hidden="1" customHeight="1">
      <c r="A87" s="111"/>
      <c r="B87" s="22"/>
      <c r="C87" s="25"/>
      <c r="D87" s="3"/>
      <c r="E87" s="3"/>
      <c r="F87" s="149"/>
      <c r="G87" s="24"/>
      <c r="H87" s="24"/>
      <c r="I87" s="53"/>
      <c r="J87" s="363"/>
      <c r="M87" s="366"/>
      <c r="P87" s="366"/>
      <c r="S87" s="366"/>
      <c r="V87" s="366"/>
      <c r="Y87" s="366"/>
      <c r="Z87" s="398">
        <f>IF(AND(U90&gt;0,U90&lt;&gt;U80),Z86/$H$2*Z81,Z86)</f>
        <v>0</v>
      </c>
      <c r="AA87" s="366"/>
      <c r="AB87" s="398">
        <f>IF(AND($AE$79&gt;30,AB78&gt;0,AD79&gt;0),AB80/30*(AB79-1),IF(AND($AE$79&gt;30,AB78&gt;0,Z79&gt;0),AB80/30*(AB79-1),AB86))</f>
        <v>0</v>
      </c>
      <c r="AC87" s="366"/>
    </row>
    <row r="88" spans="1:31" s="2" customFormat="1" ht="20.100000000000001" hidden="1" customHeight="1">
      <c r="A88" s="111"/>
      <c r="B88" s="22"/>
      <c r="C88" s="25"/>
      <c r="D88" s="3"/>
      <c r="E88" s="3"/>
      <c r="F88" s="149"/>
      <c r="G88" s="24"/>
      <c r="H88" s="24"/>
      <c r="I88" s="53"/>
      <c r="J88" s="363"/>
      <c r="M88" s="366"/>
      <c r="P88" s="366"/>
      <c r="S88" s="366"/>
      <c r="V88" s="366"/>
      <c r="Y88" s="366"/>
      <c r="Z88" s="398">
        <f>IF(AND(U90&gt;0,X90&gt;0),Z86,IF(AND(U90&gt;0,AE79=31,Z78&gt;0),Z86,IF(AND(U90&gt;0,AE79=30,Z77&gt;0),Z86,IF(AND(U90&gt;0,AE79=28,I2="Februar",Z75&gt;0),Z86,Z87))))</f>
        <v>0</v>
      </c>
      <c r="AA88" s="366"/>
      <c r="AB88" s="365">
        <f>MIN(AB85,AB87)</f>
        <v>0</v>
      </c>
      <c r="AC88" s="366"/>
    </row>
    <row r="89" spans="1:31" s="2" customFormat="1" ht="20.100000000000001" hidden="1" customHeight="1">
      <c r="A89" s="111"/>
      <c r="B89" s="22"/>
      <c r="C89" s="25"/>
      <c r="D89" s="3"/>
      <c r="E89" s="3"/>
      <c r="F89" s="149"/>
      <c r="G89" s="24"/>
      <c r="H89" s="24"/>
      <c r="I89" s="53"/>
      <c r="J89" s="363"/>
      <c r="M89" s="366"/>
      <c r="P89" s="366"/>
      <c r="Q89" s="366"/>
      <c r="S89" s="366"/>
      <c r="V89" s="366"/>
      <c r="Y89" s="366"/>
      <c r="Z89" s="398">
        <f>IF(AND(L90&gt;0,U90&gt;0,L84&lt;L79),Z80/30*Z79,IF(AND(L90&gt;0,U90&gt;0,U84&lt;U79),Z80/30*Z79,IF(AND(L90&gt;0,U90&gt;0,L84=L79,U84=U79),Z80/30*Z85,Z88)))</f>
        <v>0</v>
      </c>
      <c r="AA89" s="366"/>
      <c r="AC89" s="366"/>
    </row>
    <row r="90" spans="1:31" s="2" customFormat="1" ht="20.100000000000001" hidden="1" customHeight="1">
      <c r="A90" s="111"/>
      <c r="B90" s="22"/>
      <c r="C90" s="25"/>
      <c r="D90" s="3"/>
      <c r="E90" s="3"/>
      <c r="F90" s="149"/>
      <c r="G90" s="24"/>
      <c r="H90" s="24"/>
      <c r="I90" s="53"/>
      <c r="J90" s="363"/>
      <c r="L90" s="366">
        <f>IF(L79=0,0,L80/$H$2*L85)</f>
        <v>0</v>
      </c>
      <c r="M90" s="366"/>
      <c r="O90" s="366">
        <f>IF(O84&gt;O80,O80/$H$2*O82,O86)</f>
        <v>0</v>
      </c>
      <c r="P90" s="366"/>
      <c r="Q90" s="366"/>
      <c r="R90" s="366">
        <f>IF(OR(Z86&gt;137.51,R79=0),0,R80/$H$2*R84)</f>
        <v>0</v>
      </c>
      <c r="S90" s="366"/>
      <c r="U90" s="366">
        <f>IF(U79=0,0,U80/$H$2*U85)</f>
        <v>0</v>
      </c>
      <c r="V90" s="366"/>
      <c r="X90" s="366">
        <f>IF(X79=0,0,X80/$H$2*X84)</f>
        <v>0</v>
      </c>
      <c r="Y90" s="366"/>
      <c r="Z90" s="397">
        <f>IF(AND($AE$79&gt;30,Z78&gt;0,X79&gt;0,R79&gt;0),Z80/30*(Z79-1),Z89)</f>
        <v>0</v>
      </c>
      <c r="AA90" s="366"/>
      <c r="AB90" s="401">
        <f>IF(AB86+Z89&gt;AB80,AB88,AB87)</f>
        <v>0</v>
      </c>
      <c r="AC90" s="366"/>
      <c r="AD90" s="397">
        <f>IF(AND(AB48=0,AB90&gt;0),AD83/$H$2*AD81,AD84)</f>
        <v>0</v>
      </c>
      <c r="AE90" s="369">
        <f>IF(Z89=Z80,Z89,SUM(L90:AD90))</f>
        <v>0</v>
      </c>
    </row>
    <row r="91" spans="1:31" s="2" customFormat="1" ht="20.100000000000001" customHeight="1">
      <c r="A91" s="84" t="s">
        <v>57</v>
      </c>
      <c r="B91" s="22"/>
      <c r="C91" s="545">
        <f>Zusatzeingaben!C91</f>
        <v>0</v>
      </c>
      <c r="D91" s="545">
        <f>Zusatzeingaben!D91</f>
        <v>0</v>
      </c>
      <c r="E91" s="545">
        <f>Zusatzeingaben!E91</f>
        <v>0</v>
      </c>
      <c r="F91" s="545">
        <f>Zusatzeingaben!F91</f>
        <v>0</v>
      </c>
      <c r="G91" s="545">
        <f>Zusatzeingaben!G91</f>
        <v>0</v>
      </c>
      <c r="H91" s="545">
        <f>Zusatzeingaben!H91</f>
        <v>0</v>
      </c>
      <c r="I91" s="574">
        <f>Zusatzeingaben!I91</f>
        <v>0</v>
      </c>
    </row>
    <row r="92" spans="1:31" s="2" customFormat="1" ht="16.5" hidden="1">
      <c r="A92" s="84"/>
      <c r="B92" s="22"/>
      <c r="C92" s="25">
        <f>IF(C91="ja",C23*35/100,0)</f>
        <v>0</v>
      </c>
      <c r="D92" s="25">
        <f>IF(D91="ja",D23*35/100,0)</f>
        <v>0</v>
      </c>
      <c r="E92" s="25">
        <f>IF(AND(E18&gt;14,E91="ja"),E33*35/100,0)</f>
        <v>0</v>
      </c>
      <c r="F92" s="25">
        <f>IF(AND(F18&gt;14,F91="ja"),F33*35/100,0)</f>
        <v>0</v>
      </c>
      <c r="G92" s="25">
        <f>IF(AND(G18&gt;14,G91="ja"),G33*35/100,0)</f>
        <v>0</v>
      </c>
      <c r="H92" s="25">
        <f>IF(AND(H18&gt;14,H91="ja"),H33*35/100,0)</f>
        <v>0</v>
      </c>
      <c r="I92" s="275">
        <f>IF(AND(I18&gt;14,I91="ja"),I33*35/100,0)</f>
        <v>0</v>
      </c>
    </row>
    <row r="93" spans="1:31" s="2" customFormat="1" ht="18.75" customHeight="1">
      <c r="A93" s="334" t="s">
        <v>24</v>
      </c>
      <c r="B93" s="22"/>
      <c r="C93" s="26">
        <f>Zusatzeingaben!C93</f>
        <v>0</v>
      </c>
      <c r="D93" s="26">
        <f>Zusatzeingaben!D93</f>
        <v>0</v>
      </c>
      <c r="E93" s="26">
        <f>Zusatzeingaben!E93</f>
        <v>0</v>
      </c>
      <c r="F93" s="26">
        <f>Zusatzeingaben!F93</f>
        <v>0</v>
      </c>
      <c r="G93" s="26">
        <f>Zusatzeingaben!G93</f>
        <v>0</v>
      </c>
      <c r="H93" s="26">
        <f>Zusatzeingaben!H93</f>
        <v>0</v>
      </c>
      <c r="I93" s="46">
        <f>Zusatzeingaben!I93</f>
        <v>0</v>
      </c>
    </row>
    <row r="94" spans="1:31" s="2" customFormat="1" ht="20.100000000000001" customHeight="1">
      <c r="A94" s="79" t="s">
        <v>42</v>
      </c>
      <c r="B94" s="22"/>
      <c r="C94" s="26">
        <f>Zusatzeingaben!C94</f>
        <v>0</v>
      </c>
      <c r="D94" s="26">
        <f>Zusatzeingaben!D94</f>
        <v>0</v>
      </c>
      <c r="E94" s="26">
        <f>Zusatzeingaben!E94</f>
        <v>0</v>
      </c>
      <c r="F94" s="26">
        <f>Zusatzeingaben!F94</f>
        <v>0</v>
      </c>
      <c r="G94" s="26">
        <f>Zusatzeingaben!G94</f>
        <v>0</v>
      </c>
      <c r="H94" s="26">
        <f>Zusatzeingaben!H94</f>
        <v>0</v>
      </c>
      <c r="I94" s="46">
        <f>Zusatzeingaben!I94</f>
        <v>0</v>
      </c>
    </row>
    <row r="95" spans="1:31" s="2" customFormat="1" ht="20.100000000000001" customHeight="1">
      <c r="A95" s="84" t="s">
        <v>56</v>
      </c>
      <c r="B95" s="546" t="str">
        <f>Zusatzeingaben!B95</f>
        <v>Nein</v>
      </c>
      <c r="C95" s="268">
        <f>C33*2.3/100</f>
        <v>9.407</v>
      </c>
      <c r="D95" s="268">
        <f>IF(AND(D22=17,D18=18),D25*2.3/100+D26*1.4/100,0)</f>
        <v>0</v>
      </c>
      <c r="E95" s="268">
        <f>IF(AND(E18=6,E16=5),E25*1.2%+E26*0.8%,IF(AND(E18=14,E16=13),E25*1.4%+E26*1.2%,IF(AND(E18=18,E16=17),E25*2.3%+E26*1.4%,IF(E18&gt;24,E33*2.3%,0))))</f>
        <v>0</v>
      </c>
      <c r="F95" s="268">
        <f>IF(AND(F18=6,F16=5),F25*1.2%+F26*0.8%,IF(AND(F18=14,F16=13),F25*1.4%+F26*1.2%,IF(AND(F18=18,F16=17),F25*2.3%+F26*1.4%,IF(F18&gt;24,F33*2.3%,0))))</f>
        <v>0</v>
      </c>
      <c r="G95" s="268">
        <f>IF(AND(G18=6,G16=5),G25*1.2%+G26*0.8%,IF(AND(G18=14,G16=13),G25*1.4%+G26*1.2%,IF(AND(G18=18,G16=17),G25*2.3%+G26*1.4%,IF(G18&gt;24,G33*2.3%,0))))</f>
        <v>0</v>
      </c>
      <c r="H95" s="268">
        <f>IF(AND(H18=6,H16=5),H25*1.2%+H26*0.8%,IF(AND(H18=14,H16=13),H25*1.4%+H26*1.2%,IF(AND(H18=18,H16=17),H25*2.3%+H26*1.4%,IF(H18&gt;24,H33*2.3%,0))))</f>
        <v>0</v>
      </c>
      <c r="I95" s="276">
        <f>IF(AND(I18=6,I16=5),I25*1.2%+I26*0.8%,IF(AND(I18=14,I16=13),I25*1.4%+I26*1.2%,IF(AND(I18=18,I16=17),I25*2.3%+I26*1.4%,IF(I18&gt;24,I33*2.3%,0))))</f>
        <v>0</v>
      </c>
    </row>
    <row r="96" spans="1:31" s="2" customFormat="1" ht="20.100000000000001" hidden="1" customHeight="1">
      <c r="A96" s="85"/>
      <c r="B96" s="260"/>
      <c r="C96" s="259"/>
      <c r="D96" s="259">
        <f>IF(D22&gt;17,D33*2.3/100,D95)</f>
        <v>0</v>
      </c>
      <c r="E96" s="259">
        <f>IF(E33=0,0,IF(E33&lt;224,E33*0.8%,IF(AND(E16&lt;6,E18&lt;6),E23*0.8/100,IF(AND(E16&lt;14,E18&lt;14),E23*1.2/100,IF(AND(E16&lt;18,E18&lt;18),E23*1.4/100,E23*2.3/100)))))</f>
        <v>0</v>
      </c>
      <c r="F96" s="259">
        <f>IF(F33=0,0,IF(F33&lt;224,F33*0.8%,IF(AND(F16&lt;6,F18&lt;6),F23*0.8/100,IF(AND(F16&lt;14,F18&lt;14),F23*1.2/100,IF(AND(F16&lt;18,F18&lt;18),F23*1.4/100,F23*2.3/100)))))</f>
        <v>0</v>
      </c>
      <c r="G96" s="259">
        <f>IF(G33=0,0,IF(G33&lt;224,G33*0.8%,IF(AND(G16&lt;6,G18&lt;6),G23*0.8/100,IF(AND(G16&lt;14,G18&lt;14),G23*1.2/100,IF(AND(G16&lt;18,G18&lt;18),G23*1.4/100,G23*2.3/100)))))</f>
        <v>0</v>
      </c>
      <c r="H96" s="259">
        <f>IF(H33=0,0,IF(H33&lt;224,H33*0.8%,IF(AND(H16&lt;6,H18&lt;6),H23*0.8/100,IF(AND(H16&lt;14,H18&lt;14),H23*1.2/100,IF(AND(H16&lt;18,H18&lt;18),H23*1.4/100,H23*2.3/100)))))</f>
        <v>0</v>
      </c>
      <c r="I96" s="277">
        <f>IF(I33=0,0,IF(I33&lt;224,I33*0.8%,IF(AND(I16&lt;6,I18&lt;6),I23*0.8/100,IF(AND(I16&lt;14,I18&lt;14),I23*1.2/100,IF(AND(I16&lt;18,I18&lt;18),I23*1.4/100,I23*2.3/100)))))</f>
        <v>0</v>
      </c>
    </row>
    <row r="97" spans="1:9" s="2" customFormat="1" ht="20.100000000000001" hidden="1" customHeight="1">
      <c r="A97" s="85"/>
      <c r="B97" s="260"/>
      <c r="C97" s="259"/>
      <c r="D97" s="259"/>
      <c r="E97" s="259">
        <f>IF(E95&gt;0,E95,E96)</f>
        <v>0</v>
      </c>
      <c r="F97" s="259">
        <f>IF(F95&gt;0,F95,F96)</f>
        <v>0</v>
      </c>
      <c r="G97" s="259">
        <f>IF(G95&gt;0,G95,G96)</f>
        <v>0</v>
      </c>
      <c r="H97" s="259">
        <f>IF(H95&gt;0,H95,H96)</f>
        <v>0</v>
      </c>
      <c r="I97" s="277">
        <f>IF(I95&gt;0,I95,I96)</f>
        <v>0</v>
      </c>
    </row>
    <row r="98" spans="1:9" s="2" customFormat="1" ht="16.5" hidden="1">
      <c r="A98" s="85"/>
      <c r="B98" s="27"/>
      <c r="C98" s="36">
        <f>IF(B95="ja",C95,0)</f>
        <v>0</v>
      </c>
      <c r="D98" s="36">
        <f>IF(B95="ja",D96,0)</f>
        <v>0</v>
      </c>
      <c r="E98" s="36">
        <f>IF(B95="ja",E97,0)</f>
        <v>0</v>
      </c>
      <c r="F98" s="36">
        <f>IF(B95="ja",F97,0)</f>
        <v>0</v>
      </c>
      <c r="G98" s="36">
        <f>IF(B95="ja",G97,0)</f>
        <v>0</v>
      </c>
      <c r="H98" s="36">
        <f>IF(B95="ja",H97,0)</f>
        <v>0</v>
      </c>
      <c r="I98" s="278">
        <f>IF(B95="ja",I97,0)</f>
        <v>0</v>
      </c>
    </row>
    <row r="99" spans="1:9" s="2" customFormat="1" ht="20.100000000000001" customHeight="1" thickBot="1">
      <c r="A99" s="279" t="s">
        <v>11</v>
      </c>
      <c r="B99" s="12"/>
      <c r="C99" s="547">
        <f>Zusatzeingaben!C99</f>
        <v>0</v>
      </c>
      <c r="D99" s="547">
        <f>Zusatzeingaben!D99</f>
        <v>0</v>
      </c>
      <c r="E99" s="547">
        <f>Zusatzeingaben!E99</f>
        <v>0</v>
      </c>
      <c r="F99" s="547">
        <f>Zusatzeingaben!F99</f>
        <v>0</v>
      </c>
      <c r="G99" s="547">
        <f>Zusatzeingaben!G99</f>
        <v>0</v>
      </c>
      <c r="H99" s="547">
        <f>Zusatzeingaben!H99</f>
        <v>0</v>
      </c>
      <c r="I99" s="575">
        <f>Zusatzeingaben!I99</f>
        <v>0</v>
      </c>
    </row>
    <row r="100" spans="1:9" s="2" customFormat="1" ht="17.25" hidden="1" thickBot="1">
      <c r="A100" s="271"/>
      <c r="B100" s="272"/>
      <c r="C100" s="273">
        <f t="shared" ref="C100:I100" si="31">IF(AND(C18&gt;14,C99="ja"),C33*17/100,0)</f>
        <v>0</v>
      </c>
      <c r="D100" s="273">
        <f t="shared" si="31"/>
        <v>0</v>
      </c>
      <c r="E100" s="273">
        <f t="shared" si="31"/>
        <v>0</v>
      </c>
      <c r="F100" s="273">
        <f t="shared" si="31"/>
        <v>0</v>
      </c>
      <c r="G100" s="273">
        <f t="shared" si="31"/>
        <v>0</v>
      </c>
      <c r="H100" s="273">
        <f t="shared" si="31"/>
        <v>0</v>
      </c>
      <c r="I100" s="274">
        <f t="shared" si="31"/>
        <v>0</v>
      </c>
    </row>
    <row r="101" spans="1:9" s="2" customFormat="1" ht="26.25" customHeight="1">
      <c r="A101" s="87" t="s">
        <v>13</v>
      </c>
      <c r="B101" s="630" t="s">
        <v>30</v>
      </c>
      <c r="C101" s="21"/>
      <c r="D101" s="21"/>
      <c r="E101" s="21"/>
      <c r="F101" s="21"/>
      <c r="G101" s="21"/>
      <c r="H101" s="21"/>
      <c r="I101" s="88"/>
    </row>
    <row r="102" spans="1:9" s="2" customFormat="1" ht="20.100000000000001" customHeight="1">
      <c r="A102" s="89" t="str">
        <f>Zusatzeingaben!A102</f>
        <v>Kaltmiete/Zinsbelastung</v>
      </c>
      <c r="B102" s="26">
        <f>Zusatzeingaben!B102</f>
        <v>0</v>
      </c>
      <c r="C102" s="152">
        <f>B102/C5*B6</f>
        <v>0</v>
      </c>
      <c r="D102" s="24"/>
      <c r="E102" s="24"/>
      <c r="F102" s="24"/>
      <c r="G102" s="24"/>
      <c r="H102" s="24"/>
      <c r="I102" s="53"/>
    </row>
    <row r="103" spans="1:9" s="2" customFormat="1" ht="20.100000000000001" hidden="1" customHeight="1">
      <c r="A103" s="89" t="s">
        <v>55</v>
      </c>
      <c r="B103" s="26"/>
      <c r="C103" s="152">
        <f>B103/C5*B6</f>
        <v>0</v>
      </c>
      <c r="D103" s="24"/>
      <c r="E103" s="24"/>
      <c r="F103" s="24"/>
      <c r="G103" s="24"/>
      <c r="H103" s="24"/>
      <c r="I103" s="53"/>
    </row>
    <row r="104" spans="1:9" s="2" customFormat="1" ht="20.100000000000001" customHeight="1">
      <c r="A104" s="549">
        <f>Zusatzeingaben!A104</f>
        <v>0</v>
      </c>
      <c r="B104" s="129">
        <f>Zusatzeingaben!B104</f>
        <v>0</v>
      </c>
      <c r="C104" s="152">
        <f>IF(B102+B105+B106+B115&gt;0,B104/C5*B6,0)</f>
        <v>0</v>
      </c>
      <c r="D104" s="24"/>
      <c r="E104" s="24"/>
      <c r="F104" s="24"/>
      <c r="G104" s="24"/>
      <c r="H104" s="24"/>
      <c r="I104" s="53"/>
    </row>
    <row r="105" spans="1:9" s="2" customFormat="1" ht="20.100000000000001" customHeight="1">
      <c r="A105" s="549" t="str">
        <f>Zusatzeingaben!A105</f>
        <v>Nebenkosten</v>
      </c>
      <c r="B105" s="129">
        <f>Zusatzeingaben!B105</f>
        <v>0</v>
      </c>
      <c r="C105" s="152">
        <f>B105/C5*B6</f>
        <v>0</v>
      </c>
      <c r="D105" s="24"/>
      <c r="E105" s="24"/>
      <c r="F105" s="24"/>
      <c r="G105" s="24"/>
      <c r="H105" s="24"/>
      <c r="I105" s="53"/>
    </row>
    <row r="106" spans="1:9" s="2" customFormat="1" ht="20.100000000000001" customHeight="1">
      <c r="A106" s="549">
        <f>Zusatzeingaben!A106</f>
        <v>0</v>
      </c>
      <c r="B106" s="129">
        <f>Zusatzeingaben!B106</f>
        <v>0</v>
      </c>
      <c r="C106" s="152">
        <f>B106/C5*B6</f>
        <v>0</v>
      </c>
      <c r="D106" s="24"/>
      <c r="E106" s="24"/>
      <c r="F106" s="24"/>
      <c r="G106" s="24"/>
      <c r="H106" s="24"/>
      <c r="I106" s="53"/>
    </row>
    <row r="107" spans="1:9" s="2" customFormat="1" ht="20.100000000000001" customHeight="1">
      <c r="A107" s="550">
        <f>Zusatzeingaben!A107</f>
        <v>0</v>
      </c>
      <c r="B107" s="129">
        <f>Zusatzeingaben!B107</f>
        <v>0</v>
      </c>
      <c r="C107" s="152">
        <f>IF(B102+B105+B106+B115&gt;0,B107/C5*B6,0)</f>
        <v>0</v>
      </c>
      <c r="D107" s="20"/>
      <c r="E107" s="20"/>
      <c r="F107" s="20"/>
      <c r="G107" s="20"/>
      <c r="H107" s="20"/>
      <c r="I107" s="91"/>
    </row>
    <row r="108" spans="1:9" s="2" customFormat="1" ht="16.5" hidden="1">
      <c r="A108" s="551"/>
      <c r="B108" s="548"/>
      <c r="C108" s="24">
        <f>C107/B6</f>
        <v>0</v>
      </c>
      <c r="D108" s="24">
        <f>IF(D21&gt;0,C107/B6,0)</f>
        <v>0</v>
      </c>
      <c r="E108" s="24">
        <f>IF(E33&gt;0,C107/B6,0)</f>
        <v>0</v>
      </c>
      <c r="F108" s="24">
        <f>IF(F33&gt;0,C107/B6,0)</f>
        <v>0</v>
      </c>
      <c r="G108" s="24">
        <f>IF(G33&gt;0,C107/B6,0)</f>
        <v>0</v>
      </c>
      <c r="H108" s="24">
        <f>IF(H33&gt;0,C107/B6,0)</f>
        <v>0</v>
      </c>
      <c r="I108" s="53">
        <f>IF(I33&gt;0,C107/B6,0)</f>
        <v>0</v>
      </c>
    </row>
    <row r="109" spans="1:9" s="2" customFormat="1" ht="20.100000000000001" hidden="1" customHeight="1">
      <c r="A109" s="552" t="str">
        <f>Zusatzeingaben!A109</f>
        <v>./. Kostenanteil für Haushaltsstrom (pauschal)</v>
      </c>
      <c r="B109" s="129">
        <f>Zusatzeingaben!B109</f>
        <v>0</v>
      </c>
      <c r="C109" s="153"/>
      <c r="D109" s="20"/>
      <c r="E109" s="20"/>
      <c r="F109" s="20"/>
      <c r="G109" s="20"/>
      <c r="H109" s="20"/>
      <c r="I109" s="91"/>
    </row>
    <row r="110" spans="1:9" s="2" customFormat="1" ht="16.5" hidden="1">
      <c r="A110" s="551"/>
      <c r="B110" s="548"/>
      <c r="C110" s="259">
        <f>IF(C24&lt;C23,C33*7.772%,0)</f>
        <v>0</v>
      </c>
      <c r="D110" s="259">
        <f>IF(AND(D22=17,D18=18),D25*7.75%+D26*4.6%,0)</f>
        <v>0</v>
      </c>
      <c r="E110" s="259">
        <f>IF(E33=0,0,IF(AND(E16=0,E33&lt;224),E33*2.47%,IF(AND(E18=6,E16=5),E25*4.05%+E26*2.47%,IF(AND(E18=14,E16=13),E25*4.6%+E26*4.05%,IF(AND(E18=18,E16=17),E25*7.72%+E26*4.6%,IF(E18&gt;24,E33*7.72%,0))))))</f>
        <v>0</v>
      </c>
      <c r="F110" s="259">
        <f>IF(F33=0,0,IF(AND(F16=0,F33&lt;224),F33*2.47%,IF(AND(F18=6,F16=5),F25*4.05%+F26*2.47%,IF(AND(F18=14,F16=13),F25*4.6%+F26*4.05%,IF(AND(F18=18,F16=17),F25*7.72%+F26*4.6%,IF(F18&gt;24,F33*7.72%,0))))))</f>
        <v>0</v>
      </c>
      <c r="G110" s="259">
        <f>IF(G33=0,0,IF(AND(G16=0,G33&lt;224),G33*2.47%,IF(AND(G18=6,G16=5),G25*4.05%+G26*2.47%,IF(AND(G18=14,G16=13),G25*4.6%+G26*4.05%,IF(AND(G18=18,G16=17),G25*7.72%+G26*4.6%,IF(G18&gt;24,G33*7.72%,0))))))</f>
        <v>0</v>
      </c>
      <c r="H110" s="259">
        <f>IF(H33=0,0,IF(AND(H16=0,H33&lt;224),H33*2.47%,IF(AND(H18=6,H16=5),H25*4.05%+H26*2.47%,IF(AND(H18=14,H16=13),H25*4.6%+H26*4.05%,IF(AND(H18=18,H16=17),H25*7.72%+H26*4.6%,IF(H18&gt;24,H33*7.72%,0))))))</f>
        <v>0</v>
      </c>
      <c r="I110" s="259">
        <f>IF(I33=0,0,IF(AND(I16=0,I33&lt;224),I33*2.47%,IF(AND(I18=6,I16=5),I25*4.05%+I26*2.47%,IF(AND(I18=14,I16=13),I25*4.6%+I26*4.05%,IF(AND(I18=18,I16=17),I25*7.72%+I26*4.6%,IF(I18&gt;24,I33*7.72%,0))))))</f>
        <v>0</v>
      </c>
    </row>
    <row r="111" spans="1:9" s="2" customFormat="1" ht="16.5" hidden="1">
      <c r="A111" s="551"/>
      <c r="B111" s="548"/>
      <c r="C111" s="442">
        <f>VLOOKUP(C23,Bedarfssätze!B67:C84,2)</f>
        <v>31.01</v>
      </c>
      <c r="D111" s="442" t="e">
        <f>VLOOKUP(D23,Bedarfssätze!B67:C84,2)</f>
        <v>#N/A</v>
      </c>
      <c r="E111" s="442" t="e">
        <f>VLOOKUP(E23,Bedarfssätze!B67:C84,2)</f>
        <v>#N/A</v>
      </c>
      <c r="F111" s="442" t="e">
        <f>VLOOKUP(F23,Bedarfssätze!B67:C84,2)</f>
        <v>#N/A</v>
      </c>
      <c r="G111" s="442" t="e">
        <f>VLOOKUP(G23,Bedarfssätze!B67:C84,2)</f>
        <v>#N/A</v>
      </c>
      <c r="H111" s="442" t="e">
        <f>VLOOKUP(H23,Bedarfssätze!B67:C84,2)</f>
        <v>#N/A</v>
      </c>
      <c r="I111" s="443" t="e">
        <f>VLOOKUP(I23,Bedarfssätze!B67:C84,2)</f>
        <v>#N/A</v>
      </c>
    </row>
    <row r="112" spans="1:9" s="2" customFormat="1" ht="16.5" hidden="1">
      <c r="A112" s="551"/>
      <c r="B112" s="548"/>
      <c r="C112" s="259">
        <f>IF(AND(D110=0,C111&gt;C110),C111,C110)</f>
        <v>31.01</v>
      </c>
      <c r="D112" s="259" t="e">
        <f t="shared" ref="D112:I112" si="32">IF(D110&gt;0,D110,D111)</f>
        <v>#N/A</v>
      </c>
      <c r="E112" s="259" t="e">
        <f t="shared" si="32"/>
        <v>#N/A</v>
      </c>
      <c r="F112" s="259" t="e">
        <f t="shared" si="32"/>
        <v>#N/A</v>
      </c>
      <c r="G112" s="259" t="e">
        <f t="shared" si="32"/>
        <v>#N/A</v>
      </c>
      <c r="H112" s="259" t="e">
        <f t="shared" si="32"/>
        <v>#N/A</v>
      </c>
      <c r="I112" s="259" t="e">
        <f t="shared" si="32"/>
        <v>#N/A</v>
      </c>
    </row>
    <row r="113" spans="1:9" s="2" customFormat="1" ht="16.5" hidden="1">
      <c r="A113" s="551"/>
      <c r="B113" s="548"/>
      <c r="C113" s="24">
        <f>IF(AND(B102+B105+B106+B115&gt;0,B109="ja"),C112,0)</f>
        <v>0</v>
      </c>
      <c r="D113" s="24">
        <f>IF(AND(B102+B105+B106+B115&gt;0,D21&gt;0,B109="ja"),D112,0)</f>
        <v>0</v>
      </c>
      <c r="E113" s="24">
        <f>IF(AND($B$102+$B$105+$B$106+$B$115&gt;0,E33&gt;0,$B$109="ja"),E112,0)</f>
        <v>0</v>
      </c>
      <c r="F113" s="24">
        <f>IF(AND($B$102+$B$105+$B$106+$B$115&gt;0,F33&gt;0,$B$109="ja"),F112,0)</f>
        <v>0</v>
      </c>
      <c r="G113" s="24">
        <f>IF(AND($B$102+$B$105+$B$106+$B$115&gt;0,G33&gt;0,$B$109="ja"),G112,0)</f>
        <v>0</v>
      </c>
      <c r="H113" s="24">
        <f>IF(AND($B$102+$B$105+$B$106+$B$115&gt;0,H33&gt;0,$B$109="ja"),H112,0)</f>
        <v>0</v>
      </c>
      <c r="I113" s="24">
        <f>IF(AND($B$102+$B$105+$B$106+$B$115&gt;0,I33&gt;0,$B$109="ja"),I112,0)</f>
        <v>0</v>
      </c>
    </row>
    <row r="114" spans="1:9" s="2" customFormat="1" ht="16.5" hidden="1">
      <c r="A114" s="551"/>
      <c r="B114" s="548"/>
      <c r="C114" s="38">
        <f t="shared" ref="C114:I114" si="33">C108+C113</f>
        <v>0</v>
      </c>
      <c r="D114" s="38">
        <f t="shared" si="33"/>
        <v>0</v>
      </c>
      <c r="E114" s="38">
        <f t="shared" si="33"/>
        <v>0</v>
      </c>
      <c r="F114" s="38">
        <f t="shared" si="33"/>
        <v>0</v>
      </c>
      <c r="G114" s="38">
        <f t="shared" si="33"/>
        <v>0</v>
      </c>
      <c r="H114" s="38">
        <f t="shared" si="33"/>
        <v>0</v>
      </c>
      <c r="I114" s="93">
        <f t="shared" si="33"/>
        <v>0</v>
      </c>
    </row>
    <row r="115" spans="1:9" s="2" customFormat="1" ht="20.100000000000001" customHeight="1" thickBot="1">
      <c r="A115" s="553" t="str">
        <f>Zusatzeingaben!A115</f>
        <v>Heizkosten</v>
      </c>
      <c r="B115" s="554">
        <f>Zusatzeingaben!B115</f>
        <v>0</v>
      </c>
      <c r="C115" s="154">
        <f>B115/C5*B6</f>
        <v>0</v>
      </c>
      <c r="D115" s="28"/>
      <c r="E115" s="28"/>
      <c r="F115" s="28"/>
      <c r="G115" s="28"/>
      <c r="H115" s="28"/>
      <c r="I115" s="54"/>
    </row>
    <row r="116" spans="1:9" s="2" customFormat="1" ht="18.75">
      <c r="A116" s="95" t="s">
        <v>20</v>
      </c>
      <c r="B116" s="630" t="s">
        <v>30</v>
      </c>
      <c r="C116" s="21"/>
      <c r="D116" s="21"/>
      <c r="E116" s="21"/>
      <c r="F116" s="21"/>
      <c r="G116" s="21"/>
      <c r="H116" s="21"/>
      <c r="I116" s="88"/>
    </row>
    <row r="117" spans="1:9" s="2" customFormat="1" ht="20.100000000000001" customHeight="1" thickBot="1">
      <c r="A117" s="94" t="str">
        <f>Zusatzeingaben!A117</f>
        <v>z.B. freiwilliger KV/PV-Beitrag bei Ablehnung</v>
      </c>
      <c r="B117" s="12"/>
      <c r="C117" s="39">
        <f>Zusatzeingaben!C117</f>
        <v>0</v>
      </c>
      <c r="D117" s="39">
        <f>Zusatzeingaben!D117</f>
        <v>0</v>
      </c>
      <c r="E117" s="39">
        <f>Zusatzeingaben!E117</f>
        <v>0</v>
      </c>
      <c r="F117" s="39">
        <f>Zusatzeingaben!F117</f>
        <v>0</v>
      </c>
      <c r="G117" s="39">
        <f>Zusatzeingaben!G117</f>
        <v>0</v>
      </c>
      <c r="H117" s="39">
        <f>Zusatzeingaben!H117</f>
        <v>0</v>
      </c>
      <c r="I117" s="96">
        <f>Zusatzeingaben!I117</f>
        <v>0</v>
      </c>
    </row>
    <row r="118" spans="1:9" s="2" customFormat="1" ht="17.25" thickBot="1">
      <c r="C118" s="14"/>
      <c r="D118" s="14"/>
      <c r="E118" s="14"/>
      <c r="F118" s="14"/>
      <c r="G118" s="14"/>
      <c r="H118" s="14"/>
    </row>
    <row r="119" spans="1:9" s="2" customFormat="1" ht="20.25">
      <c r="A119" s="100"/>
      <c r="B119" s="101" t="s">
        <v>129</v>
      </c>
      <c r="C119" s="102"/>
      <c r="D119" s="102"/>
      <c r="E119" s="102"/>
      <c r="F119" s="102"/>
      <c r="G119" s="102"/>
      <c r="H119" s="102"/>
      <c r="I119" s="103"/>
    </row>
    <row r="120" spans="1:9" s="2" customFormat="1" ht="21.95" customHeight="1" thickBot="1">
      <c r="A120" s="104" t="s">
        <v>65</v>
      </c>
      <c r="B120" s="352" t="s">
        <v>30</v>
      </c>
      <c r="C120" s="352" t="str">
        <f>C4</f>
        <v>Antragsteller</v>
      </c>
      <c r="D120" s="352" t="str">
        <f>D4</f>
        <v>Partner(in)</v>
      </c>
      <c r="E120" s="352" t="str">
        <f>E4</f>
        <v>Kind 1</v>
      </c>
      <c r="F120" s="352" t="s">
        <v>8</v>
      </c>
      <c r="G120" s="352" t="s">
        <v>9</v>
      </c>
      <c r="H120" s="352" t="s">
        <v>10</v>
      </c>
      <c r="I120" s="353" t="s">
        <v>34</v>
      </c>
    </row>
    <row r="121" spans="1:9" s="5" customFormat="1" ht="20.100000000000001" customHeight="1">
      <c r="A121" s="264" t="s">
        <v>82</v>
      </c>
      <c r="B121" s="121"/>
      <c r="C121" s="121"/>
      <c r="D121" s="121"/>
      <c r="E121" s="121"/>
      <c r="F121" s="121"/>
      <c r="G121" s="121"/>
      <c r="H121" s="121"/>
      <c r="I121" s="122"/>
    </row>
    <row r="122" spans="1:9" s="2" customFormat="1" ht="20.100000000000001" customHeight="1">
      <c r="A122" s="105" t="s">
        <v>191</v>
      </c>
      <c r="B122" s="41"/>
      <c r="C122" s="42">
        <f>Zusatzeingaben!C122</f>
        <v>21</v>
      </c>
      <c r="D122" s="42">
        <f>Zusatzeingaben!D122</f>
        <v>21</v>
      </c>
      <c r="E122" s="42">
        <f>Zusatzeingaben!E122</f>
        <v>21</v>
      </c>
      <c r="F122" s="42">
        <f>Zusatzeingaben!F122</f>
        <v>21</v>
      </c>
      <c r="G122" s="42">
        <f>Zusatzeingaben!G122</f>
        <v>21</v>
      </c>
      <c r="H122" s="42">
        <f>Zusatzeingaben!H122</f>
        <v>21</v>
      </c>
      <c r="I122" s="106">
        <f>Zusatzeingaben!I122</f>
        <v>21</v>
      </c>
    </row>
    <row r="123" spans="1:9" s="2" customFormat="1" ht="20.100000000000001" customHeight="1">
      <c r="A123" s="107" t="s">
        <v>76</v>
      </c>
      <c r="B123" s="22"/>
      <c r="C123" s="59">
        <f>Zusatzeingaben!C123</f>
        <v>0</v>
      </c>
      <c r="D123" s="59">
        <f>Zusatzeingaben!D123</f>
        <v>0</v>
      </c>
      <c r="E123" s="59">
        <f>Zusatzeingaben!E123</f>
        <v>0</v>
      </c>
      <c r="F123" s="59">
        <f>Zusatzeingaben!F123</f>
        <v>0</v>
      </c>
      <c r="G123" s="59">
        <f>Zusatzeingaben!G123</f>
        <v>0</v>
      </c>
      <c r="H123" s="59">
        <f>Zusatzeingaben!H123</f>
        <v>0</v>
      </c>
      <c r="I123" s="60">
        <f>Zusatzeingaben!I123</f>
        <v>0</v>
      </c>
    </row>
    <row r="124" spans="1:9" s="5" customFormat="1" ht="20.100000000000001" hidden="1" customHeight="1">
      <c r="A124" s="138" t="s">
        <v>93</v>
      </c>
      <c r="B124" s="22"/>
      <c r="C124" s="140">
        <f>C123*6</f>
        <v>0</v>
      </c>
      <c r="D124" s="140">
        <f t="shared" ref="D124:I124" si="34">D123*6</f>
        <v>0</v>
      </c>
      <c r="E124" s="140">
        <f t="shared" si="34"/>
        <v>0</v>
      </c>
      <c r="F124" s="140">
        <f t="shared" si="34"/>
        <v>0</v>
      </c>
      <c r="G124" s="140">
        <f t="shared" si="34"/>
        <v>0</v>
      </c>
      <c r="H124" s="140">
        <f t="shared" si="34"/>
        <v>0</v>
      </c>
      <c r="I124" s="189">
        <f t="shared" si="34"/>
        <v>0</v>
      </c>
    </row>
    <row r="125" spans="1:9" s="2" customFormat="1" ht="20.100000000000001" customHeight="1" thickBot="1">
      <c r="A125" s="108" t="s">
        <v>83</v>
      </c>
      <c r="B125" s="22"/>
      <c r="C125" s="61">
        <f>Zusatzeingaben!C125</f>
        <v>0</v>
      </c>
      <c r="D125" s="61">
        <f>Zusatzeingaben!D125</f>
        <v>0</v>
      </c>
      <c r="E125" s="61">
        <f>Zusatzeingaben!E125</f>
        <v>0</v>
      </c>
      <c r="F125" s="61">
        <f>Zusatzeingaben!F125</f>
        <v>0</v>
      </c>
      <c r="G125" s="61">
        <f>Zusatzeingaben!G125</f>
        <v>0</v>
      </c>
      <c r="H125" s="61">
        <f>Zusatzeingaben!H125</f>
        <v>0</v>
      </c>
      <c r="I125" s="109">
        <f>Zusatzeingaben!I125</f>
        <v>0</v>
      </c>
    </row>
    <row r="126" spans="1:9" s="5" customFormat="1" ht="20.100000000000001" hidden="1" customHeight="1">
      <c r="A126" s="139" t="s">
        <v>31</v>
      </c>
      <c r="B126" s="22"/>
      <c r="C126" s="62">
        <f t="shared" ref="C126:I126" si="35">C122*C125*0.2</f>
        <v>0</v>
      </c>
      <c r="D126" s="62">
        <f t="shared" si="35"/>
        <v>0</v>
      </c>
      <c r="E126" s="62">
        <f t="shared" si="35"/>
        <v>0</v>
      </c>
      <c r="F126" s="62">
        <f t="shared" si="35"/>
        <v>0</v>
      </c>
      <c r="G126" s="62">
        <f t="shared" si="35"/>
        <v>0</v>
      </c>
      <c r="H126" s="62">
        <f t="shared" si="35"/>
        <v>0</v>
      </c>
      <c r="I126" s="110">
        <f t="shared" si="35"/>
        <v>0</v>
      </c>
    </row>
    <row r="127" spans="1:9" s="2" customFormat="1" ht="20.100000000000001" hidden="1" customHeight="1" thickBot="1">
      <c r="A127" s="111"/>
      <c r="B127" s="3"/>
      <c r="C127" s="198">
        <f t="shared" ref="C127:I127" si="36">MAX(C126,C142)</f>
        <v>0</v>
      </c>
      <c r="D127" s="198">
        <f t="shared" si="36"/>
        <v>0</v>
      </c>
      <c r="E127" s="198">
        <f t="shared" si="36"/>
        <v>0</v>
      </c>
      <c r="F127" s="198">
        <f t="shared" si="36"/>
        <v>0</v>
      </c>
      <c r="G127" s="198">
        <f t="shared" si="36"/>
        <v>0</v>
      </c>
      <c r="H127" s="198">
        <f t="shared" si="36"/>
        <v>0</v>
      </c>
      <c r="I127" s="199">
        <f t="shared" si="36"/>
        <v>0</v>
      </c>
    </row>
    <row r="128" spans="1:9" s="2" customFormat="1" ht="20.100000000000001" customHeight="1">
      <c r="A128" s="118" t="s">
        <v>54</v>
      </c>
      <c r="B128" s="49"/>
      <c r="C128" s="50">
        <f>Zusatzeingaben!C128</f>
        <v>0</v>
      </c>
      <c r="D128" s="50">
        <f>Zusatzeingaben!D128</f>
        <v>0</v>
      </c>
      <c r="E128" s="50">
        <f>Zusatzeingaben!E128</f>
        <v>0</v>
      </c>
      <c r="F128" s="50">
        <f>Zusatzeingaben!F128</f>
        <v>0</v>
      </c>
      <c r="G128" s="50">
        <f>Zusatzeingaben!G128</f>
        <v>0</v>
      </c>
      <c r="H128" s="50">
        <f>Zusatzeingaben!H128</f>
        <v>0</v>
      </c>
      <c r="I128" s="119">
        <f>Zusatzeingaben!I128</f>
        <v>0</v>
      </c>
    </row>
    <row r="129" spans="1:10" s="2" customFormat="1" ht="20.100000000000001" customHeight="1">
      <c r="A129" s="666" t="s">
        <v>60</v>
      </c>
      <c r="B129" s="22"/>
      <c r="C129" s="23">
        <f>Zusatzeingaben!C129</f>
        <v>0</v>
      </c>
      <c r="D129" s="23">
        <f>Zusatzeingaben!D129</f>
        <v>0</v>
      </c>
      <c r="E129" s="23">
        <f>Zusatzeingaben!E129</f>
        <v>0</v>
      </c>
      <c r="F129" s="23">
        <f>Zusatzeingaben!F129</f>
        <v>0</v>
      </c>
      <c r="G129" s="23">
        <f>Zusatzeingaben!G129</f>
        <v>0</v>
      </c>
      <c r="H129" s="23">
        <f>Zusatzeingaben!H129</f>
        <v>0</v>
      </c>
      <c r="I129" s="258">
        <f>Zusatzeingaben!I129</f>
        <v>0</v>
      </c>
      <c r="J129" s="111"/>
    </row>
    <row r="130" spans="1:10" s="2" customFormat="1" ht="16.5">
      <c r="A130" s="664" t="s">
        <v>88</v>
      </c>
      <c r="B130" s="62"/>
      <c r="C130" s="62">
        <f t="shared" ref="C130:I130" si="37">IF(C129="vollverpflegung",C33*C122*1%,IF(C129="frühstück",C33*C122*0.2%,IF(C129="mittagessen",C33*C122*0.4%,IF(C129="abendessen",C33*C122*0.4%,0))))</f>
        <v>0</v>
      </c>
      <c r="D130" s="62">
        <f t="shared" si="37"/>
        <v>0</v>
      </c>
      <c r="E130" s="62">
        <f t="shared" si="37"/>
        <v>0</v>
      </c>
      <c r="F130" s="62">
        <f t="shared" si="37"/>
        <v>0</v>
      </c>
      <c r="G130" s="62">
        <f t="shared" si="37"/>
        <v>0</v>
      </c>
      <c r="H130" s="62">
        <f t="shared" si="37"/>
        <v>0</v>
      </c>
      <c r="I130" s="110">
        <f t="shared" si="37"/>
        <v>0</v>
      </c>
    </row>
    <row r="131" spans="1:10" s="2" customFormat="1" ht="16.5" hidden="1">
      <c r="A131" s="125" t="s">
        <v>87</v>
      </c>
      <c r="B131" s="62"/>
      <c r="C131" s="62">
        <f>C128+C130</f>
        <v>0</v>
      </c>
      <c r="D131" s="62">
        <f t="shared" ref="D131:I131" si="38">D128+D130</f>
        <v>0</v>
      </c>
      <c r="E131" s="62">
        <f t="shared" si="38"/>
        <v>0</v>
      </c>
      <c r="F131" s="62">
        <f t="shared" si="38"/>
        <v>0</v>
      </c>
      <c r="G131" s="62">
        <f t="shared" si="38"/>
        <v>0</v>
      </c>
      <c r="H131" s="62">
        <f t="shared" si="38"/>
        <v>0</v>
      </c>
      <c r="I131" s="110">
        <f t="shared" si="38"/>
        <v>0</v>
      </c>
    </row>
    <row r="132" spans="1:10" s="2" customFormat="1" ht="20.100000000000001" customHeight="1">
      <c r="A132" s="108" t="s">
        <v>53</v>
      </c>
      <c r="B132" s="22"/>
      <c r="C132" s="26">
        <f>Zusatzeingaben!C132</f>
        <v>0</v>
      </c>
      <c r="D132" s="26">
        <f>Zusatzeingaben!D132</f>
        <v>0</v>
      </c>
      <c r="E132" s="26">
        <f>Zusatzeingaben!E132</f>
        <v>0</v>
      </c>
      <c r="F132" s="26">
        <f>Zusatzeingaben!F132</f>
        <v>0</v>
      </c>
      <c r="G132" s="26">
        <f>Zusatzeingaben!G132</f>
        <v>0</v>
      </c>
      <c r="H132" s="26">
        <f>Zusatzeingaben!H132</f>
        <v>0</v>
      </c>
      <c r="I132" s="46">
        <f>Zusatzeingaben!I132</f>
        <v>0</v>
      </c>
    </row>
    <row r="133" spans="1:10" s="2" customFormat="1" ht="16.5" hidden="1">
      <c r="A133" s="126" t="s">
        <v>89</v>
      </c>
      <c r="B133" s="55"/>
      <c r="C133" s="57">
        <f>C130+C132</f>
        <v>0</v>
      </c>
      <c r="D133" s="57">
        <f t="shared" ref="D133:I133" si="39">D130+D132</f>
        <v>0</v>
      </c>
      <c r="E133" s="57">
        <f t="shared" si="39"/>
        <v>0</v>
      </c>
      <c r="F133" s="57">
        <f t="shared" si="39"/>
        <v>0</v>
      </c>
      <c r="G133" s="57">
        <f t="shared" si="39"/>
        <v>0</v>
      </c>
      <c r="H133" s="57">
        <f t="shared" si="39"/>
        <v>0</v>
      </c>
      <c r="I133" s="114">
        <f t="shared" si="39"/>
        <v>0</v>
      </c>
    </row>
    <row r="134" spans="1:10" s="2" customFormat="1" ht="16.5" hidden="1">
      <c r="A134" s="108" t="s">
        <v>106</v>
      </c>
      <c r="B134" s="22"/>
      <c r="C134" s="26"/>
      <c r="D134" s="26"/>
      <c r="E134" s="26"/>
      <c r="F134" s="26"/>
      <c r="G134" s="26"/>
      <c r="H134" s="26"/>
      <c r="I134" s="46"/>
    </row>
    <row r="135" spans="1:10" s="2" customFormat="1" ht="17.25" hidden="1" thickBot="1">
      <c r="A135" s="265" t="s">
        <v>107</v>
      </c>
      <c r="B135" s="266"/>
      <c r="C135" s="39"/>
      <c r="D135" s="39"/>
      <c r="E135" s="39"/>
      <c r="F135" s="39"/>
      <c r="G135" s="39"/>
      <c r="H135" s="39"/>
      <c r="I135" s="96"/>
    </row>
    <row r="136" spans="1:10" s="2" customFormat="1" ht="20.100000000000001" customHeight="1">
      <c r="A136" s="117" t="s">
        <v>69</v>
      </c>
      <c r="B136" s="40"/>
      <c r="C136" s="43">
        <f>Zusatzeingaben!C136</f>
        <v>0</v>
      </c>
      <c r="D136" s="43">
        <f>Zusatzeingaben!D136</f>
        <v>0</v>
      </c>
      <c r="E136" s="43">
        <f>Zusatzeingaben!E136</f>
        <v>0</v>
      </c>
      <c r="F136" s="43">
        <f>Zusatzeingaben!F136</f>
        <v>0</v>
      </c>
      <c r="G136" s="43">
        <f>Zusatzeingaben!G136</f>
        <v>0</v>
      </c>
      <c r="H136" s="43">
        <f>Zusatzeingaben!H136</f>
        <v>0</v>
      </c>
      <c r="I136" s="115">
        <f>Zusatzeingaben!I136</f>
        <v>0</v>
      </c>
    </row>
    <row r="137" spans="1:10" s="2" customFormat="1" ht="20.100000000000001" customHeight="1" thickBot="1">
      <c r="A137" s="120" t="s">
        <v>70</v>
      </c>
      <c r="B137" s="12"/>
      <c r="C137" s="39">
        <f>Zusatzeingaben!C137</f>
        <v>0</v>
      </c>
      <c r="D137" s="39">
        <f>Zusatzeingaben!D137</f>
        <v>0</v>
      </c>
      <c r="E137" s="39">
        <f>Zusatzeingaben!E137</f>
        <v>0</v>
      </c>
      <c r="F137" s="39">
        <f>Zusatzeingaben!F137</f>
        <v>0</v>
      </c>
      <c r="G137" s="39">
        <f>Zusatzeingaben!G137</f>
        <v>0</v>
      </c>
      <c r="H137" s="39">
        <f>Zusatzeingaben!H137</f>
        <v>0</v>
      </c>
      <c r="I137" s="96">
        <f>Zusatzeingaben!I137</f>
        <v>0</v>
      </c>
    </row>
    <row r="138" spans="1:10" s="2" customFormat="1" ht="20.100000000000001" customHeight="1">
      <c r="A138" s="117" t="s">
        <v>126</v>
      </c>
      <c r="B138" s="40"/>
      <c r="C138" s="43">
        <f>Zusatzeingaben!C138</f>
        <v>0</v>
      </c>
      <c r="D138" s="43">
        <f>Zusatzeingaben!D138</f>
        <v>0</v>
      </c>
      <c r="E138" s="43">
        <f>Zusatzeingaben!E138</f>
        <v>0</v>
      </c>
      <c r="F138" s="43">
        <f>Zusatzeingaben!F138</f>
        <v>0</v>
      </c>
      <c r="G138" s="43">
        <f>Zusatzeingaben!G138</f>
        <v>0</v>
      </c>
      <c r="H138" s="43">
        <f>Zusatzeingaben!H138</f>
        <v>0</v>
      </c>
      <c r="I138" s="115">
        <f>Zusatzeingaben!I138</f>
        <v>0</v>
      </c>
    </row>
    <row r="139" spans="1:10" s="2" customFormat="1" ht="20.100000000000001" customHeight="1">
      <c r="A139" s="90" t="str">
        <f>Zusatzeingaben!A139</f>
        <v>Gewinn aus selbständiger Tätigkeit</v>
      </c>
      <c r="B139" s="22"/>
      <c r="C139" s="26">
        <f>Zusatzeingaben!C139</f>
        <v>0</v>
      </c>
      <c r="D139" s="26">
        <f>Zusatzeingaben!D139</f>
        <v>0</v>
      </c>
      <c r="E139" s="26">
        <f>Zusatzeingaben!E139</f>
        <v>0</v>
      </c>
      <c r="F139" s="26">
        <f>Zusatzeingaben!F139</f>
        <v>0</v>
      </c>
      <c r="G139" s="26">
        <f>Zusatzeingaben!G139</f>
        <v>0</v>
      </c>
      <c r="H139" s="26">
        <f>Zusatzeingaben!H139</f>
        <v>0</v>
      </c>
      <c r="I139" s="46">
        <f>Zusatzeingaben!I139</f>
        <v>0</v>
      </c>
    </row>
    <row r="140" spans="1:10" s="5" customFormat="1" ht="20.100000000000001" hidden="1" customHeight="1">
      <c r="A140" s="92" t="s">
        <v>101</v>
      </c>
      <c r="B140" s="22"/>
      <c r="C140" s="58">
        <f>C131+C136+C139</f>
        <v>0</v>
      </c>
      <c r="D140" s="58">
        <f t="shared" ref="D140:I140" si="40">D131+D136+D139</f>
        <v>0</v>
      </c>
      <c r="E140" s="58">
        <f t="shared" si="40"/>
        <v>0</v>
      </c>
      <c r="F140" s="58">
        <f t="shared" si="40"/>
        <v>0</v>
      </c>
      <c r="G140" s="58">
        <f t="shared" si="40"/>
        <v>0</v>
      </c>
      <c r="H140" s="58">
        <f t="shared" si="40"/>
        <v>0</v>
      </c>
      <c r="I140" s="58">
        <f t="shared" si="40"/>
        <v>0</v>
      </c>
    </row>
    <row r="141" spans="1:10" s="2" customFormat="1" ht="20.100000000000001" hidden="1" customHeight="1">
      <c r="A141" s="92" t="s">
        <v>100</v>
      </c>
      <c r="B141" s="22"/>
      <c r="C141" s="128">
        <f>C133+C137+C138+C139</f>
        <v>0</v>
      </c>
      <c r="D141" s="128">
        <f t="shared" ref="D141:I141" si="41">D133+D137+D138+D139</f>
        <v>0</v>
      </c>
      <c r="E141" s="128">
        <f t="shared" si="41"/>
        <v>0</v>
      </c>
      <c r="F141" s="128">
        <f t="shared" si="41"/>
        <v>0</v>
      </c>
      <c r="G141" s="128">
        <f t="shared" si="41"/>
        <v>0</v>
      </c>
      <c r="H141" s="128">
        <f t="shared" si="41"/>
        <v>0</v>
      </c>
      <c r="I141" s="190">
        <f t="shared" si="41"/>
        <v>0</v>
      </c>
    </row>
    <row r="142" spans="1:10" s="2" customFormat="1" ht="20.100000000000001" customHeight="1">
      <c r="A142" s="90">
        <f>Zusatzeingaben!A142</f>
        <v>0</v>
      </c>
      <c r="B142" s="22"/>
      <c r="C142" s="129">
        <f>Zusatzeingaben!C142</f>
        <v>0</v>
      </c>
      <c r="D142" s="129">
        <f>Zusatzeingaben!D142</f>
        <v>0</v>
      </c>
      <c r="E142" s="129">
        <f>Zusatzeingaben!E142</f>
        <v>0</v>
      </c>
      <c r="F142" s="129">
        <f>Zusatzeingaben!F142</f>
        <v>0</v>
      </c>
      <c r="G142" s="129">
        <f>Zusatzeingaben!G142</f>
        <v>0</v>
      </c>
      <c r="H142" s="129">
        <f>Zusatzeingaben!H142</f>
        <v>0</v>
      </c>
      <c r="I142" s="191">
        <f>Zusatzeingaben!I142</f>
        <v>0</v>
      </c>
    </row>
    <row r="143" spans="1:10" s="2" customFormat="1" ht="20.100000000000001" customHeight="1" thickBot="1">
      <c r="A143" s="177" t="s">
        <v>189</v>
      </c>
      <c r="B143" s="12"/>
      <c r="C143" s="39">
        <f>Zusatzeingaben!C143</f>
        <v>0</v>
      </c>
      <c r="D143" s="39">
        <f>Zusatzeingaben!D143</f>
        <v>0</v>
      </c>
      <c r="E143" s="39">
        <f>Zusatzeingaben!E143</f>
        <v>0</v>
      </c>
      <c r="F143" s="39">
        <f>Zusatzeingaben!F143</f>
        <v>0</v>
      </c>
      <c r="G143" s="39">
        <f>Zusatzeingaben!G143</f>
        <v>0</v>
      </c>
      <c r="H143" s="39">
        <f>Zusatzeingaben!H143</f>
        <v>0</v>
      </c>
      <c r="I143" s="96">
        <f>Zusatzeingaben!I143</f>
        <v>0</v>
      </c>
    </row>
    <row r="144" spans="1:10" s="2" customFormat="1" ht="20.100000000000001" hidden="1" customHeight="1">
      <c r="A144" s="192" t="s">
        <v>201</v>
      </c>
      <c r="B144" s="130"/>
      <c r="C144" s="622">
        <f t="shared" ref="C144:I144" si="42">IF(C131&gt;400,C143,0)</f>
        <v>0</v>
      </c>
      <c r="D144" s="622">
        <f t="shared" si="42"/>
        <v>0</v>
      </c>
      <c r="E144" s="622">
        <f t="shared" si="42"/>
        <v>0</v>
      </c>
      <c r="F144" s="622">
        <f t="shared" si="42"/>
        <v>0</v>
      </c>
      <c r="G144" s="622">
        <f t="shared" si="42"/>
        <v>0</v>
      </c>
      <c r="H144" s="622">
        <f t="shared" si="42"/>
        <v>0</v>
      </c>
      <c r="I144" s="622">
        <f t="shared" si="42"/>
        <v>0</v>
      </c>
    </row>
    <row r="145" spans="1:9" s="2" customFormat="1" ht="20.100000000000001" hidden="1" customHeight="1">
      <c r="A145" s="193"/>
      <c r="B145" s="130"/>
      <c r="C145" s="64">
        <f t="shared" ref="C145:I145" si="43">IF(C138&gt;200,C143,0)</f>
        <v>0</v>
      </c>
      <c r="D145" s="64">
        <f t="shared" si="43"/>
        <v>0</v>
      </c>
      <c r="E145" s="64">
        <f t="shared" si="43"/>
        <v>0</v>
      </c>
      <c r="F145" s="64">
        <f t="shared" si="43"/>
        <v>0</v>
      </c>
      <c r="G145" s="64">
        <f t="shared" si="43"/>
        <v>0</v>
      </c>
      <c r="H145" s="64">
        <f t="shared" si="43"/>
        <v>0</v>
      </c>
      <c r="I145" s="64">
        <f t="shared" si="43"/>
        <v>0</v>
      </c>
    </row>
    <row r="146" spans="1:9" s="2" customFormat="1" ht="20.100000000000001" hidden="1" customHeight="1">
      <c r="A146" s="111"/>
      <c r="B146" s="130"/>
      <c r="C146" s="64">
        <f t="shared" ref="C146:I146" si="44">IF(C136&gt;100,C143,0)</f>
        <v>0</v>
      </c>
      <c r="D146" s="64">
        <f t="shared" si="44"/>
        <v>0</v>
      </c>
      <c r="E146" s="64">
        <f t="shared" si="44"/>
        <v>0</v>
      </c>
      <c r="F146" s="64">
        <f t="shared" si="44"/>
        <v>0</v>
      </c>
      <c r="G146" s="64">
        <f t="shared" si="44"/>
        <v>0</v>
      </c>
      <c r="H146" s="64">
        <f t="shared" si="44"/>
        <v>0</v>
      </c>
      <c r="I146" s="64">
        <f t="shared" si="44"/>
        <v>0</v>
      </c>
    </row>
    <row r="147" spans="1:9" s="2" customFormat="1" ht="20.100000000000001" hidden="1" customHeight="1">
      <c r="A147" s="193"/>
      <c r="B147" s="130"/>
      <c r="C147" s="130">
        <f>IF(C144&gt;0,C144,IF(C145&gt;0,C145,IF(C146&gt;0,C146,0)))</f>
        <v>0</v>
      </c>
      <c r="D147" s="130">
        <f t="shared" ref="D147:I147" si="45">IF(D144&gt;0,D144,IF(D145&gt;0,D145,IF(D146&gt;0,D146,0)))</f>
        <v>0</v>
      </c>
      <c r="E147" s="130">
        <f t="shared" si="45"/>
        <v>0</v>
      </c>
      <c r="F147" s="130">
        <f t="shared" si="45"/>
        <v>0</v>
      </c>
      <c r="G147" s="130">
        <f t="shared" si="45"/>
        <v>0</v>
      </c>
      <c r="H147" s="130">
        <f t="shared" si="45"/>
        <v>0</v>
      </c>
      <c r="I147" s="130">
        <f t="shared" si="45"/>
        <v>0</v>
      </c>
    </row>
    <row r="148" spans="1:9" s="2" customFormat="1" ht="20.100000000000001" hidden="1" customHeight="1">
      <c r="A148" s="193"/>
      <c r="B148" s="130"/>
      <c r="C148" s="131">
        <f>IF(C160=0,0,C147)</f>
        <v>0</v>
      </c>
      <c r="D148" s="131">
        <f t="shared" ref="D148:I148" si="46">IF(D160=0,0,D147)</f>
        <v>0</v>
      </c>
      <c r="E148" s="131">
        <f t="shared" si="46"/>
        <v>0</v>
      </c>
      <c r="F148" s="131">
        <f t="shared" si="46"/>
        <v>0</v>
      </c>
      <c r="G148" s="131">
        <f t="shared" si="46"/>
        <v>0</v>
      </c>
      <c r="H148" s="131">
        <f t="shared" si="46"/>
        <v>0</v>
      </c>
      <c r="I148" s="131">
        <f t="shared" si="46"/>
        <v>0</v>
      </c>
    </row>
    <row r="149" spans="1:9" s="2" customFormat="1" ht="20.100000000000001" hidden="1" customHeight="1">
      <c r="A149" s="111"/>
      <c r="B149" s="130"/>
      <c r="C149" s="130"/>
      <c r="D149" s="130"/>
      <c r="E149" s="130"/>
      <c r="F149" s="130"/>
      <c r="G149" s="130"/>
      <c r="H149" s="130"/>
      <c r="I149" s="194"/>
    </row>
    <row r="150" spans="1:9" s="2" customFormat="1" ht="20.100000000000001" hidden="1" customHeight="1">
      <c r="A150" s="195" t="s">
        <v>98</v>
      </c>
      <c r="B150" s="130"/>
      <c r="C150" s="618">
        <f>IF(C195&gt;0,0,IF(C34="nein",0,IF(C131+C139&gt;100,100,C131+C139)))</f>
        <v>0</v>
      </c>
      <c r="D150" s="618">
        <f>IF(D195&gt;0,0,IF(D34="nein",0,IF(D131+D139&gt;100,100,D131+D139)))</f>
        <v>0</v>
      </c>
      <c r="E150" s="618">
        <f>IF(AND(E18&gt;14,E34="nein"),0,IF(E131+E139&gt;100,100,E131+E139))</f>
        <v>0</v>
      </c>
      <c r="F150" s="618">
        <f>IF(AND(F18&gt;14,F34="nein"),0,IF(F131+F139&gt;100,100,F131+F139))</f>
        <v>0</v>
      </c>
      <c r="G150" s="618">
        <f>IF(AND(G18&gt;14,G34="nein"),0,IF(G131+G139&gt;100,100,G131+G139))</f>
        <v>0</v>
      </c>
      <c r="H150" s="618">
        <f>IF(AND(H18&gt;14,H34="nein"),0,IF(H131+H139&gt;100,100,H131+H139))</f>
        <v>0</v>
      </c>
      <c r="I150" s="618">
        <f>IF(AND(I18&gt;14,I34="nein"),0,IF(I131+I139&gt;100,100,I131+I139))</f>
        <v>0</v>
      </c>
    </row>
    <row r="151" spans="1:9" s="2" customFormat="1" ht="20.100000000000001" hidden="1" customHeight="1">
      <c r="A151" s="111"/>
      <c r="B151" s="130"/>
      <c r="C151" s="198">
        <f t="shared" ref="C151:I151" si="47">IF(AND(C131+C139&gt;400,C150=100),C213,C150)</f>
        <v>0</v>
      </c>
      <c r="D151" s="198">
        <f t="shared" si="47"/>
        <v>0</v>
      </c>
      <c r="E151" s="198">
        <f t="shared" si="47"/>
        <v>0</v>
      </c>
      <c r="F151" s="198">
        <f t="shared" si="47"/>
        <v>0</v>
      </c>
      <c r="G151" s="198">
        <f t="shared" si="47"/>
        <v>0</v>
      </c>
      <c r="H151" s="198">
        <f t="shared" si="47"/>
        <v>0</v>
      </c>
      <c r="I151" s="199">
        <f t="shared" si="47"/>
        <v>0</v>
      </c>
    </row>
    <row r="152" spans="1:9" s="2" customFormat="1" ht="20.100000000000001" hidden="1" customHeight="1">
      <c r="A152" s="111"/>
      <c r="B152" s="130"/>
      <c r="C152" s="200">
        <f t="shared" ref="C152:I152" si="48">IF(C151&gt;C131+C139,C131+C139,C151)</f>
        <v>0</v>
      </c>
      <c r="D152" s="200">
        <f t="shared" si="48"/>
        <v>0</v>
      </c>
      <c r="E152" s="200">
        <f t="shared" si="48"/>
        <v>0</v>
      </c>
      <c r="F152" s="200">
        <f t="shared" si="48"/>
        <v>0</v>
      </c>
      <c r="G152" s="200">
        <f t="shared" si="48"/>
        <v>0</v>
      </c>
      <c r="H152" s="200">
        <f t="shared" si="48"/>
        <v>0</v>
      </c>
      <c r="I152" s="201">
        <f t="shared" si="48"/>
        <v>0</v>
      </c>
    </row>
    <row r="153" spans="1:9" s="2" customFormat="1" ht="20.100000000000001" hidden="1" customHeight="1">
      <c r="A153" s="195" t="s">
        <v>94</v>
      </c>
      <c r="B153" s="130"/>
      <c r="C153" s="196">
        <f t="shared" ref="C153:I153" si="49">IF(C136&gt;100,100,C136)</f>
        <v>0</v>
      </c>
      <c r="D153" s="196">
        <f t="shared" si="49"/>
        <v>0</v>
      </c>
      <c r="E153" s="196">
        <f t="shared" si="49"/>
        <v>0</v>
      </c>
      <c r="F153" s="196">
        <f t="shared" si="49"/>
        <v>0</v>
      </c>
      <c r="G153" s="196">
        <f t="shared" si="49"/>
        <v>0</v>
      </c>
      <c r="H153" s="196">
        <f t="shared" si="49"/>
        <v>0</v>
      </c>
      <c r="I153" s="197">
        <f t="shared" si="49"/>
        <v>0</v>
      </c>
    </row>
    <row r="154" spans="1:9" s="2" customFormat="1" ht="20.100000000000001" hidden="1" customHeight="1">
      <c r="A154" s="195"/>
      <c r="B154" s="130"/>
      <c r="C154" s="198">
        <f t="shared" ref="C154:I154" si="50">IF(C136&gt;100,C213,C153)</f>
        <v>0</v>
      </c>
      <c r="D154" s="198">
        <f t="shared" si="50"/>
        <v>0</v>
      </c>
      <c r="E154" s="198">
        <f t="shared" si="50"/>
        <v>0</v>
      </c>
      <c r="F154" s="198">
        <f t="shared" si="50"/>
        <v>0</v>
      </c>
      <c r="G154" s="198">
        <f t="shared" si="50"/>
        <v>0</v>
      </c>
      <c r="H154" s="198">
        <f t="shared" si="50"/>
        <v>0</v>
      </c>
      <c r="I154" s="199">
        <f t="shared" si="50"/>
        <v>0</v>
      </c>
    </row>
    <row r="155" spans="1:9" s="2" customFormat="1" ht="20.100000000000001" hidden="1" customHeight="1">
      <c r="A155" s="195"/>
      <c r="B155" s="130"/>
      <c r="C155" s="200">
        <f t="shared" ref="C155:I155" si="51">IF(C154&gt;C136,C136,C154)</f>
        <v>0</v>
      </c>
      <c r="D155" s="200">
        <f t="shared" si="51"/>
        <v>0</v>
      </c>
      <c r="E155" s="200">
        <f t="shared" si="51"/>
        <v>0</v>
      </c>
      <c r="F155" s="200">
        <f t="shared" si="51"/>
        <v>0</v>
      </c>
      <c r="G155" s="200">
        <f t="shared" si="51"/>
        <v>0</v>
      </c>
      <c r="H155" s="200">
        <f t="shared" si="51"/>
        <v>0</v>
      </c>
      <c r="I155" s="201">
        <f t="shared" si="51"/>
        <v>0</v>
      </c>
    </row>
    <row r="156" spans="1:9" s="2" customFormat="1" ht="20.100000000000001" hidden="1" customHeight="1">
      <c r="A156" s="195" t="s">
        <v>95</v>
      </c>
      <c r="B156" s="130"/>
      <c r="C156" s="196">
        <f t="shared" ref="C156:I156" si="52">IF(C138&gt;200,200,C138)</f>
        <v>0</v>
      </c>
      <c r="D156" s="196">
        <f t="shared" si="52"/>
        <v>0</v>
      </c>
      <c r="E156" s="196">
        <f t="shared" si="52"/>
        <v>0</v>
      </c>
      <c r="F156" s="196">
        <f t="shared" si="52"/>
        <v>0</v>
      </c>
      <c r="G156" s="196">
        <f t="shared" si="52"/>
        <v>0</v>
      </c>
      <c r="H156" s="196">
        <f t="shared" si="52"/>
        <v>0</v>
      </c>
      <c r="I156" s="197">
        <f t="shared" si="52"/>
        <v>0</v>
      </c>
    </row>
    <row r="157" spans="1:9" s="2" customFormat="1" ht="20.100000000000001" hidden="1" customHeight="1">
      <c r="A157" s="111"/>
      <c r="B157" s="130"/>
      <c r="C157" s="198">
        <f t="shared" ref="C157:I157" si="53">IF(AND(C138&gt;200,C156=200),C214,C156)</f>
        <v>0</v>
      </c>
      <c r="D157" s="198">
        <f t="shared" si="53"/>
        <v>0</v>
      </c>
      <c r="E157" s="198">
        <f t="shared" si="53"/>
        <v>0</v>
      </c>
      <c r="F157" s="198">
        <f t="shared" si="53"/>
        <v>0</v>
      </c>
      <c r="G157" s="198">
        <f t="shared" si="53"/>
        <v>0</v>
      </c>
      <c r="H157" s="198">
        <f t="shared" si="53"/>
        <v>0</v>
      </c>
      <c r="I157" s="199">
        <f t="shared" si="53"/>
        <v>0</v>
      </c>
    </row>
    <row r="158" spans="1:9" s="2" customFormat="1" ht="20.100000000000001" hidden="1" customHeight="1">
      <c r="A158" s="193"/>
      <c r="B158" s="130"/>
      <c r="C158" s="142">
        <f>C157</f>
        <v>0</v>
      </c>
      <c r="D158" s="142">
        <f t="shared" ref="D158:I158" si="54">D157</f>
        <v>0</v>
      </c>
      <c r="E158" s="142">
        <f t="shared" si="54"/>
        <v>0</v>
      </c>
      <c r="F158" s="142">
        <f t="shared" si="54"/>
        <v>0</v>
      </c>
      <c r="G158" s="142">
        <f t="shared" si="54"/>
        <v>0</v>
      </c>
      <c r="H158" s="142">
        <f t="shared" si="54"/>
        <v>0</v>
      </c>
      <c r="I158" s="619">
        <f t="shared" si="54"/>
        <v>0</v>
      </c>
    </row>
    <row r="159" spans="1:9" s="2" customFormat="1" ht="20.100000000000001" hidden="1" customHeight="1">
      <c r="A159" s="193"/>
      <c r="B159" s="130"/>
      <c r="C159" s="130">
        <f t="shared" ref="C159:I159" si="55">IF(C155&gt;C152,C155,C152)</f>
        <v>0</v>
      </c>
      <c r="D159" s="130">
        <f t="shared" si="55"/>
        <v>0</v>
      </c>
      <c r="E159" s="130">
        <f t="shared" si="55"/>
        <v>0</v>
      </c>
      <c r="F159" s="130">
        <f t="shared" si="55"/>
        <v>0</v>
      </c>
      <c r="G159" s="130">
        <f t="shared" si="55"/>
        <v>0</v>
      </c>
      <c r="H159" s="130">
        <f t="shared" si="55"/>
        <v>0</v>
      </c>
      <c r="I159" s="194">
        <f t="shared" si="55"/>
        <v>0</v>
      </c>
    </row>
    <row r="160" spans="1:9" s="2" customFormat="1" ht="20.100000000000001" hidden="1" customHeight="1">
      <c r="A160" s="202" t="s">
        <v>96</v>
      </c>
      <c r="B160" s="130"/>
      <c r="C160" s="634">
        <f t="shared" ref="C160:I160" si="56">IF(AND(C132+C139&gt;0,C132+C139&lt;100,C136=0,C138=0),C132+C139,IF(AND(C131+C139&gt;400,C159&gt;100,C138&gt;0,C159&gt;200),C159,IF(AND(C131+C139&gt;400,C159&gt;100,C138&gt;0,C158+100&gt;C159),MIN(200,C158+100),IF(AND(C131+C139&gt;400,C159&gt;100,C138&gt;0,C158+100&lt;C159),C159,IF(AND(C138&gt;0,C158&lt;=200,C159&lt;=200),MIN(200,C158+C159),C159)))))</f>
        <v>0</v>
      </c>
      <c r="D160" s="634">
        <f t="shared" si="56"/>
        <v>0</v>
      </c>
      <c r="E160" s="634">
        <f t="shared" si="56"/>
        <v>0</v>
      </c>
      <c r="F160" s="634">
        <f t="shared" si="56"/>
        <v>0</v>
      </c>
      <c r="G160" s="634">
        <f t="shared" si="56"/>
        <v>0</v>
      </c>
      <c r="H160" s="634">
        <f t="shared" si="56"/>
        <v>0</v>
      </c>
      <c r="I160" s="634">
        <f t="shared" si="56"/>
        <v>0</v>
      </c>
    </row>
    <row r="161" spans="1:9" s="5" customFormat="1" ht="20.100000000000001" hidden="1" customHeight="1">
      <c r="A161" s="193"/>
      <c r="B161" s="130"/>
      <c r="C161" s="130">
        <f t="shared" ref="C161:I161" si="57">IF(C195&gt;0,C160,IF(C34="nein",C160,IF(AND(C160&lt;100,C198&gt;0),C212,C160)))</f>
        <v>0</v>
      </c>
      <c r="D161" s="130">
        <f t="shared" si="57"/>
        <v>0</v>
      </c>
      <c r="E161" s="130">
        <f t="shared" si="57"/>
        <v>0</v>
      </c>
      <c r="F161" s="130">
        <f t="shared" si="57"/>
        <v>0</v>
      </c>
      <c r="G161" s="130">
        <f t="shared" si="57"/>
        <v>0</v>
      </c>
      <c r="H161" s="130">
        <f t="shared" si="57"/>
        <v>0</v>
      </c>
      <c r="I161" s="130">
        <f t="shared" si="57"/>
        <v>0</v>
      </c>
    </row>
    <row r="162" spans="1:9" s="2" customFormat="1" ht="20.100000000000001" hidden="1" customHeight="1">
      <c r="A162" s="193"/>
      <c r="B162" s="130"/>
      <c r="C162" s="130">
        <f t="shared" ref="C162" si="58">IF(C161&gt;C160,C160-C212,C160)</f>
        <v>0</v>
      </c>
      <c r="D162" s="130">
        <f t="shared" ref="D162" si="59">IF(D161&gt;D160,D160-D212,D160)</f>
        <v>0</v>
      </c>
      <c r="E162" s="130">
        <f t="shared" ref="E162" si="60">IF(E161&gt;E160,E160-E212,E160)</f>
        <v>0</v>
      </c>
      <c r="F162" s="130">
        <f t="shared" ref="F162" si="61">IF(F161&gt;F160,F160-F212,F160)</f>
        <v>0</v>
      </c>
      <c r="G162" s="130">
        <f t="shared" ref="G162" si="62">IF(G161&gt;G160,G160-G212,G160)</f>
        <v>0</v>
      </c>
      <c r="H162" s="130">
        <f t="shared" ref="H162" si="63">IF(H161&gt;H160,H160-H212,H160)</f>
        <v>0</v>
      </c>
      <c r="I162" s="130">
        <f t="shared" ref="I162" si="64">IF(I161&gt;I160,I160-I212,I160)</f>
        <v>0</v>
      </c>
    </row>
    <row r="163" spans="1:9" s="2" customFormat="1" ht="20.100000000000001" hidden="1" customHeight="1" thickBot="1">
      <c r="A163" s="193"/>
      <c r="B163" s="130"/>
      <c r="C163" s="65">
        <f>IF(C162&lt;0,C162*-1,C162)</f>
        <v>0</v>
      </c>
      <c r="D163" s="65">
        <f t="shared" ref="D163:I163" si="65">IF(D162&lt;0,D162*-1,D162)</f>
        <v>0</v>
      </c>
      <c r="E163" s="65">
        <f t="shared" si="65"/>
        <v>0</v>
      </c>
      <c r="F163" s="65">
        <f t="shared" si="65"/>
        <v>0</v>
      </c>
      <c r="G163" s="65">
        <f t="shared" si="65"/>
        <v>0</v>
      </c>
      <c r="H163" s="65">
        <f t="shared" si="65"/>
        <v>0</v>
      </c>
      <c r="I163" s="203">
        <f t="shared" si="65"/>
        <v>0</v>
      </c>
    </row>
    <row r="164" spans="1:9" s="2" customFormat="1" ht="20.100000000000001" customHeight="1">
      <c r="A164" s="407" t="s">
        <v>86</v>
      </c>
      <c r="B164" s="49"/>
      <c r="C164" s="50">
        <f>Zusatzeingaben!C165</f>
        <v>0</v>
      </c>
      <c r="D164" s="50">
        <f>Zusatzeingaben!D165</f>
        <v>0</v>
      </c>
      <c r="E164" s="50">
        <f>Zusatzeingaben!E165</f>
        <v>0</v>
      </c>
      <c r="F164" s="50">
        <f>Zusatzeingaben!F165</f>
        <v>0</v>
      </c>
      <c r="G164" s="50">
        <f>Zusatzeingaben!G165</f>
        <v>0</v>
      </c>
      <c r="H164" s="50">
        <f>Zusatzeingaben!H165</f>
        <v>0</v>
      </c>
      <c r="I164" s="119">
        <f>Zusatzeingaben!I165</f>
        <v>0</v>
      </c>
    </row>
    <row r="165" spans="1:9" s="2" customFormat="1" ht="20.100000000000001" customHeight="1">
      <c r="A165" s="667" t="s">
        <v>84</v>
      </c>
      <c r="B165" s="22"/>
      <c r="C165" s="555">
        <f>Zusatzeingaben!C166</f>
        <v>0</v>
      </c>
      <c r="D165" s="555">
        <f>Zusatzeingaben!D166</f>
        <v>0</v>
      </c>
      <c r="E165" s="555">
        <f>Zusatzeingaben!E166</f>
        <v>0</v>
      </c>
      <c r="F165" s="555">
        <f>Zusatzeingaben!F166</f>
        <v>0</v>
      </c>
      <c r="G165" s="555">
        <f>Zusatzeingaben!G166</f>
        <v>0</v>
      </c>
      <c r="H165" s="555">
        <f>Zusatzeingaben!H166</f>
        <v>0</v>
      </c>
      <c r="I165" s="577">
        <f>Zusatzeingaben!I166</f>
        <v>0</v>
      </c>
    </row>
    <row r="166" spans="1:9" s="2" customFormat="1" ht="20.100000000000001" customHeight="1">
      <c r="A166" s="667" t="s">
        <v>85</v>
      </c>
      <c r="B166" s="22"/>
      <c r="C166" s="42">
        <f>Zusatzeingaben!C167</f>
        <v>0</v>
      </c>
      <c r="D166" s="42">
        <f>Zusatzeingaben!D167</f>
        <v>0</v>
      </c>
      <c r="E166" s="42">
        <f>Zusatzeingaben!E167</f>
        <v>0</v>
      </c>
      <c r="F166" s="42">
        <f>Zusatzeingaben!F167</f>
        <v>0</v>
      </c>
      <c r="G166" s="42">
        <f>Zusatzeingaben!G167</f>
        <v>0</v>
      </c>
      <c r="H166" s="42">
        <f>Zusatzeingaben!H167</f>
        <v>0</v>
      </c>
      <c r="I166" s="106">
        <f>Zusatzeingaben!I167</f>
        <v>0</v>
      </c>
    </row>
    <row r="167" spans="1:9" s="2" customFormat="1" ht="20.100000000000001" customHeight="1" thickBot="1">
      <c r="A167" s="665" t="s">
        <v>88</v>
      </c>
      <c r="B167" s="22"/>
      <c r="C167" s="62">
        <f>IF(C165="vollverpflegung",C23*C166*1%,IF(C165="frühstück",C23*C166*0.2%,IF(C165="mittagessen",C23*C166*0.4%,IF(C165="abendessen",C23*C166*0.4%,0))))</f>
        <v>0</v>
      </c>
      <c r="D167" s="24">
        <f>IF(D165="vollverpflegung",D23*D166*1%,IF(D165="frühstück",D23*D166*0.2%,IF(D165="mittagessen",D23*D166*0.4%,IF(D165="abendessen",D23*D166*0.4%,0))))</f>
        <v>0</v>
      </c>
      <c r="E167" s="24">
        <f>IF(E165="vollverpflegung",E31*E166*1%,IF(E165="frühstück",E31*E166*0.2%,IF(E165="mittagessen",E31*E166*0.4%,IF(E165="abendessen",E31*E166*0.4%,0))))</f>
        <v>0</v>
      </c>
      <c r="F167" s="24">
        <f>IF(F165="vollverpflegung",F31*F166*1%,IF(F165="frühstück",F31*F166*0.2%,IF(F165="mittagessen",F31*F166*0.4%,IF(F165="abendessen",F31*F166*0.4%,0))))</f>
        <v>0</v>
      </c>
      <c r="G167" s="24">
        <f>IF(G165="vollverpflegung",G31*G166*1%,IF(G165="frühstück",G31*G166*0.2%,IF(G165="mittagessen",G31*G166*0.4%,IF(G165="abendessen",G31*G166*0.4%,0))))</f>
        <v>0</v>
      </c>
      <c r="H167" s="24">
        <f>IF(H165="vollverpflegung",H31*H166*1%,IF(H165="frühstück",H31*H166*0.2%,IF(H165="mittagessen",H31*H166*0.4%,IF(H165="abendessen",H31*H166*0.4%,0))))</f>
        <v>0</v>
      </c>
      <c r="I167" s="53">
        <f>IF(I165="vollverpflegung",I31*I166*1%,IF(I165="frühstück",I31*I166*0.2%,IF(I165="mittagessen",I31*I166*0.4%,IF(I165="abendessen",I31*I166*0.4%,0))))</f>
        <v>0</v>
      </c>
    </row>
    <row r="168" spans="1:9" s="2" customFormat="1" ht="20.100000000000001" hidden="1" customHeight="1">
      <c r="A168" s="418" t="s">
        <v>105</v>
      </c>
      <c r="B168" s="22"/>
      <c r="C168" s="24">
        <f>C164+C167</f>
        <v>0</v>
      </c>
      <c r="D168" s="24">
        <f t="shared" ref="D168:I168" si="66">D164+D167</f>
        <v>0</v>
      </c>
      <c r="E168" s="24">
        <f t="shared" si="66"/>
        <v>0</v>
      </c>
      <c r="F168" s="24">
        <f t="shared" si="66"/>
        <v>0</v>
      </c>
      <c r="G168" s="24">
        <f t="shared" si="66"/>
        <v>0</v>
      </c>
      <c r="H168" s="24">
        <f t="shared" si="66"/>
        <v>0</v>
      </c>
      <c r="I168" s="24">
        <f t="shared" si="66"/>
        <v>0</v>
      </c>
    </row>
    <row r="169" spans="1:9" s="2" customFormat="1" ht="20.100000000000001" hidden="1" customHeight="1">
      <c r="A169" s="204"/>
      <c r="B169" s="6"/>
      <c r="C169" s="130">
        <f>IF(C164&gt;200,200,C164)</f>
        <v>0</v>
      </c>
      <c r="D169" s="130">
        <f t="shared" ref="D169:I169" si="67">IF(D164&gt;200,200,D164)</f>
        <v>0</v>
      </c>
      <c r="E169" s="130">
        <f t="shared" si="67"/>
        <v>0</v>
      </c>
      <c r="F169" s="130">
        <f t="shared" si="67"/>
        <v>0</v>
      </c>
      <c r="G169" s="130">
        <f t="shared" si="67"/>
        <v>0</v>
      </c>
      <c r="H169" s="130">
        <f t="shared" si="67"/>
        <v>0</v>
      </c>
      <c r="I169" s="130">
        <f t="shared" si="67"/>
        <v>0</v>
      </c>
    </row>
    <row r="170" spans="1:9" s="2" customFormat="1" ht="20.100000000000001" hidden="1" customHeight="1">
      <c r="A170" s="204"/>
      <c r="B170" s="6"/>
      <c r="C170" s="130">
        <f>IF(C160=200,0,IF(AND(C160&gt;1,C160&lt;200),C169-C160,C169))</f>
        <v>0</v>
      </c>
      <c r="D170" s="130">
        <f t="shared" ref="D170:I170" si="68">IF(D160=200,0,IF(AND(D160&gt;1,D160&lt;200),D169-D160,D169))</f>
        <v>0</v>
      </c>
      <c r="E170" s="130">
        <f t="shared" si="68"/>
        <v>0</v>
      </c>
      <c r="F170" s="130">
        <f t="shared" si="68"/>
        <v>0</v>
      </c>
      <c r="G170" s="130">
        <f t="shared" si="68"/>
        <v>0</v>
      </c>
      <c r="H170" s="130">
        <f t="shared" si="68"/>
        <v>0</v>
      </c>
      <c r="I170" s="130">
        <f t="shared" si="68"/>
        <v>0</v>
      </c>
    </row>
    <row r="171" spans="1:9" s="2" customFormat="1" ht="20.100000000000001" hidden="1" customHeight="1" thickBot="1">
      <c r="A171" s="652" t="s">
        <v>91</v>
      </c>
      <c r="B171" s="653"/>
      <c r="C171" s="655">
        <f>IF(C170&lt;0,0,C170)</f>
        <v>0</v>
      </c>
      <c r="D171" s="655">
        <f t="shared" ref="D171:I171" si="69">IF(D170&lt;0,0,D170)</f>
        <v>0</v>
      </c>
      <c r="E171" s="655">
        <f t="shared" si="69"/>
        <v>0</v>
      </c>
      <c r="F171" s="655">
        <f t="shared" si="69"/>
        <v>0</v>
      </c>
      <c r="G171" s="655">
        <f t="shared" si="69"/>
        <v>0</v>
      </c>
      <c r="H171" s="655">
        <f t="shared" si="69"/>
        <v>0</v>
      </c>
      <c r="I171" s="655">
        <f t="shared" si="69"/>
        <v>0</v>
      </c>
    </row>
    <row r="172" spans="1:9" ht="20.100000000000001" customHeight="1">
      <c r="A172" s="16" t="s">
        <v>61</v>
      </c>
      <c r="B172" s="49"/>
      <c r="C172" s="50">
        <f>Zusatzeingaben!C174</f>
        <v>0</v>
      </c>
      <c r="D172" s="50">
        <f>Zusatzeingaben!D174</f>
        <v>0</v>
      </c>
      <c r="E172" s="51"/>
      <c r="F172" s="51"/>
      <c r="G172" s="51"/>
      <c r="H172" s="51"/>
      <c r="I172" s="52"/>
    </row>
    <row r="173" spans="1:9" ht="20.100000000000001" customHeight="1">
      <c r="A173" s="17" t="s">
        <v>72</v>
      </c>
      <c r="B173" s="22"/>
      <c r="C173" s="26">
        <f>Zusatzeingaben!C175</f>
        <v>0</v>
      </c>
      <c r="D173" s="26">
        <f>Zusatzeingaben!D175</f>
        <v>0</v>
      </c>
      <c r="E173" s="24"/>
      <c r="F173" s="24"/>
      <c r="G173" s="24"/>
      <c r="H173" s="24"/>
      <c r="I173" s="53"/>
    </row>
    <row r="174" spans="1:9" ht="20.100000000000001" customHeight="1" thickBot="1">
      <c r="A174" s="18" t="s">
        <v>71</v>
      </c>
      <c r="B174" s="12"/>
      <c r="C174" s="547" t="str">
        <f>Zusatzeingaben!C176</f>
        <v>Nein</v>
      </c>
      <c r="D174" s="547" t="str">
        <f>Zusatzeingaben!D176</f>
        <v>Nein</v>
      </c>
      <c r="E174" s="28"/>
      <c r="F174" s="28"/>
      <c r="G174" s="28"/>
      <c r="H174" s="28"/>
      <c r="I174" s="54"/>
    </row>
    <row r="175" spans="1:9" ht="20.100000000000001" hidden="1" customHeight="1">
      <c r="A175" s="113"/>
      <c r="B175" s="55"/>
      <c r="C175" s="56">
        <f>IF(C173&gt;300,300,C173)</f>
        <v>0</v>
      </c>
      <c r="D175" s="56">
        <f>IF(D173&gt;300,300,D173)</f>
        <v>0</v>
      </c>
      <c r="E175" s="57"/>
      <c r="F175" s="57"/>
      <c r="G175" s="57"/>
      <c r="H175" s="57"/>
      <c r="I175" s="114"/>
    </row>
    <row r="176" spans="1:9" ht="20.100000000000001" hidden="1" customHeight="1">
      <c r="A176" s="113"/>
      <c r="B176" s="55"/>
      <c r="C176" s="56">
        <f>IF(C174="ja",MIN(150,C173/2),C175)</f>
        <v>0</v>
      </c>
      <c r="D176" s="56">
        <f t="shared" ref="D176:I176" si="70">IF(D174="ja",MIN(150,D173/2),D175)</f>
        <v>0</v>
      </c>
      <c r="E176" s="56">
        <f t="shared" si="70"/>
        <v>0</v>
      </c>
      <c r="F176" s="56">
        <f t="shared" si="70"/>
        <v>0</v>
      </c>
      <c r="G176" s="56">
        <f t="shared" si="70"/>
        <v>0</v>
      </c>
      <c r="H176" s="56">
        <f t="shared" si="70"/>
        <v>0</v>
      </c>
      <c r="I176" s="56">
        <f t="shared" si="70"/>
        <v>0</v>
      </c>
    </row>
    <row r="177" spans="1:9" ht="20.100000000000001" hidden="1" customHeight="1" thickBot="1">
      <c r="A177" s="113" t="s">
        <v>78</v>
      </c>
      <c r="B177" s="55"/>
      <c r="C177" s="56">
        <f>IF(C176&lt;C175,C176,C175)</f>
        <v>0</v>
      </c>
      <c r="D177" s="56">
        <f>IF(D176&lt;D175,D176,D175)</f>
        <v>0</v>
      </c>
      <c r="E177" s="57"/>
      <c r="F177" s="57"/>
      <c r="G177" s="57"/>
      <c r="H177" s="57"/>
      <c r="I177" s="114"/>
    </row>
    <row r="178" spans="1:9" ht="20.100000000000001" customHeight="1">
      <c r="A178" s="656" t="str">
        <f>Zusatzeingaben!A180</f>
        <v>Leistungen der Ausbildungsförderung (siehe Liste)</v>
      </c>
      <c r="B178" s="49"/>
      <c r="C178" s="50">
        <f>Zusatzeingaben!C180</f>
        <v>0</v>
      </c>
      <c r="D178" s="50">
        <f>Zusatzeingaben!D180</f>
        <v>0</v>
      </c>
      <c r="E178" s="50">
        <f>Zusatzeingaben!E180</f>
        <v>0</v>
      </c>
      <c r="F178" s="50">
        <f>Zusatzeingaben!F180</f>
        <v>0</v>
      </c>
      <c r="G178" s="51"/>
      <c r="H178" s="51"/>
      <c r="I178" s="52"/>
    </row>
    <row r="179" spans="1:9" ht="20.100000000000001" customHeight="1">
      <c r="A179" s="19" t="s">
        <v>207</v>
      </c>
      <c r="B179" s="22"/>
      <c r="C179" s="59">
        <f>Zusatzeingaben!C181</f>
        <v>0</v>
      </c>
      <c r="D179" s="59">
        <f>Zusatzeingaben!D181</f>
        <v>0</v>
      </c>
      <c r="E179" s="59">
        <f>Zusatzeingaben!E181</f>
        <v>0</v>
      </c>
      <c r="F179" s="59">
        <f>Zusatzeingaben!F181</f>
        <v>0</v>
      </c>
      <c r="G179" s="24"/>
      <c r="H179" s="24"/>
      <c r="I179" s="53"/>
    </row>
    <row r="180" spans="1:9" ht="20.100000000000001" customHeight="1">
      <c r="A180" s="19" t="s">
        <v>205</v>
      </c>
      <c r="B180" s="22"/>
      <c r="C180" s="61">
        <f>Zusatzeingaben!C182</f>
        <v>0</v>
      </c>
      <c r="D180" s="61">
        <f>Zusatzeingaben!D182</f>
        <v>0</v>
      </c>
      <c r="E180" s="61">
        <f>Zusatzeingaben!E182</f>
        <v>0</v>
      </c>
      <c r="F180" s="61">
        <f>Zusatzeingaben!F182</f>
        <v>0</v>
      </c>
      <c r="G180" s="24"/>
      <c r="H180" s="24"/>
      <c r="I180" s="53"/>
    </row>
    <row r="181" spans="1:9" ht="20.100000000000001" hidden="1" customHeight="1">
      <c r="A181" s="97"/>
      <c r="B181" s="22"/>
      <c r="C181" s="36">
        <f>C179*C180*0.2</f>
        <v>0</v>
      </c>
      <c r="D181" s="36">
        <f t="shared" ref="D181:F181" si="71">D179*D180*0.2</f>
        <v>0</v>
      </c>
      <c r="E181" s="36">
        <f t="shared" si="71"/>
        <v>0</v>
      </c>
      <c r="F181" s="36">
        <f t="shared" si="71"/>
        <v>0</v>
      </c>
      <c r="G181" s="24"/>
      <c r="H181" s="24"/>
      <c r="I181" s="53"/>
    </row>
    <row r="182" spans="1:9" ht="20.100000000000001" customHeight="1">
      <c r="A182" s="19" t="s">
        <v>212</v>
      </c>
      <c r="B182" s="22"/>
      <c r="C182" s="26">
        <f>Zusatzeingaben!C184</f>
        <v>0</v>
      </c>
      <c r="D182" s="26">
        <f>Zusatzeingaben!D184</f>
        <v>0</v>
      </c>
      <c r="E182" s="26">
        <f>Zusatzeingaben!E184</f>
        <v>0</v>
      </c>
      <c r="F182" s="26">
        <f>Zusatzeingaben!F184</f>
        <v>0</v>
      </c>
      <c r="G182" s="24"/>
      <c r="H182" s="24"/>
      <c r="I182" s="53"/>
    </row>
    <row r="183" spans="1:9" ht="20.100000000000001" hidden="1" customHeight="1">
      <c r="A183" s="113"/>
      <c r="B183" s="55"/>
      <c r="C183" s="57">
        <f>MAX(C181,C182)</f>
        <v>0</v>
      </c>
      <c r="D183" s="57">
        <f t="shared" ref="D183:F183" si="72">MAX(D181,D182)</f>
        <v>0</v>
      </c>
      <c r="E183" s="57">
        <f t="shared" si="72"/>
        <v>0</v>
      </c>
      <c r="F183" s="57">
        <f t="shared" si="72"/>
        <v>0</v>
      </c>
      <c r="G183" s="419"/>
      <c r="H183" s="419"/>
      <c r="I183" s="420"/>
    </row>
    <row r="184" spans="1:9" ht="20.100000000000001" customHeight="1" thickBot="1">
      <c r="A184" s="19" t="s">
        <v>206</v>
      </c>
      <c r="B184" s="55"/>
      <c r="C184" s="26">
        <f>Zusatzeingaben!C186</f>
        <v>0</v>
      </c>
      <c r="D184" s="26">
        <f>Zusatzeingaben!D186</f>
        <v>0</v>
      </c>
      <c r="E184" s="26">
        <f>Zusatzeingaben!E186</f>
        <v>0</v>
      </c>
      <c r="F184" s="26">
        <f>Zusatzeingaben!F186</f>
        <v>0</v>
      </c>
      <c r="G184" s="419"/>
      <c r="H184" s="419"/>
      <c r="I184" s="420"/>
    </row>
    <row r="185" spans="1:9" ht="20.100000000000001" hidden="1" customHeight="1">
      <c r="A185" s="99"/>
      <c r="B185" s="55"/>
      <c r="C185" s="58">
        <f>MIN(C178,100)</f>
        <v>0</v>
      </c>
      <c r="D185" s="58">
        <f t="shared" ref="D185:F185" si="73">MIN(D178,100)</f>
        <v>0</v>
      </c>
      <c r="E185" s="58">
        <f t="shared" si="73"/>
        <v>0</v>
      </c>
      <c r="F185" s="58">
        <f t="shared" si="73"/>
        <v>0</v>
      </c>
      <c r="G185" s="419"/>
      <c r="H185" s="419"/>
      <c r="I185" s="420"/>
    </row>
    <row r="186" spans="1:9" ht="20.100000000000001" hidden="1" customHeight="1">
      <c r="A186" s="99"/>
      <c r="B186" s="55"/>
      <c r="C186" s="58">
        <f>IF(AND(C160&gt;0,C160&lt;=100),MIN(100-C160,C185),IF(C158&gt;100,0,C185))</f>
        <v>0</v>
      </c>
      <c r="D186" s="58">
        <f t="shared" ref="D186:F186" si="74">IF(AND(D160&gt;0,D160&lt;=100),MIN(100-D160,D185),IF(D158&gt;100,0,D185))</f>
        <v>0</v>
      </c>
      <c r="E186" s="58">
        <f t="shared" si="74"/>
        <v>0</v>
      </c>
      <c r="F186" s="58">
        <f t="shared" si="74"/>
        <v>0</v>
      </c>
      <c r="G186" s="419"/>
      <c r="H186" s="419"/>
      <c r="I186" s="420"/>
    </row>
    <row r="187" spans="1:9" ht="20.100000000000001" hidden="1" customHeight="1">
      <c r="A187" s="636" t="s">
        <v>209</v>
      </c>
      <c r="B187" s="55"/>
      <c r="C187" s="58">
        <f>IF(OR(C160&gt;0,C178=0),0,C186)</f>
        <v>0</v>
      </c>
      <c r="D187" s="58">
        <f t="shared" ref="D187:F187" si="75">IF(OR(D160&gt;0,D178=0),0,D186)</f>
        <v>0</v>
      </c>
      <c r="E187" s="58">
        <f t="shared" si="75"/>
        <v>0</v>
      </c>
      <c r="F187" s="58">
        <f t="shared" si="75"/>
        <v>0</v>
      </c>
      <c r="G187" s="419"/>
      <c r="H187" s="419"/>
      <c r="I187" s="420"/>
    </row>
    <row r="188" spans="1:9" ht="20.100000000000001" hidden="1" customHeight="1">
      <c r="A188" s="636" t="s">
        <v>210</v>
      </c>
      <c r="B188" s="55"/>
      <c r="C188" s="58">
        <f>IF(C183+C184&gt;C187,MIN(C178,C183+C184),IF(AND(C172+C178+C190+C193+C194+C195+C196+C197&gt;0,C189&gt;C187),C183+C184,0))</f>
        <v>0</v>
      </c>
      <c r="D188" s="58">
        <f t="shared" ref="D188:F188" si="76">IF(D183+D184&gt;D187,MIN(D178,D183+D184),IF(AND(D172+D178+D190+D193+D194+D195+D196+D197&gt;0,D189&gt;D187),D183+D184,0))</f>
        <v>0</v>
      </c>
      <c r="E188" s="58">
        <f t="shared" si="76"/>
        <v>0</v>
      </c>
      <c r="F188" s="58">
        <f t="shared" si="76"/>
        <v>0</v>
      </c>
      <c r="G188" s="419"/>
      <c r="H188" s="419"/>
      <c r="I188" s="420"/>
    </row>
    <row r="189" spans="1:9" ht="20.100000000000001" hidden="1" customHeight="1" thickBot="1">
      <c r="A189" s="99"/>
      <c r="B189" s="55"/>
      <c r="C189" s="58">
        <f>IF(AND(C178&gt;0,C183+C184+C211&gt;100),C183+C184+C211,0)</f>
        <v>0</v>
      </c>
      <c r="D189" s="58">
        <f t="shared" ref="D189:F189" si="77">IF(AND(D178&gt;0,D183+D184+D211&gt;100),D183+D184+D211,0)</f>
        <v>0</v>
      </c>
      <c r="E189" s="58">
        <f t="shared" si="77"/>
        <v>0</v>
      </c>
      <c r="F189" s="58">
        <f t="shared" si="77"/>
        <v>0</v>
      </c>
      <c r="G189" s="419"/>
      <c r="H189" s="419"/>
      <c r="I189" s="420"/>
    </row>
    <row r="190" spans="1:9" s="2" customFormat="1" ht="20.100000000000001" customHeight="1">
      <c r="A190" s="422" t="s">
        <v>23</v>
      </c>
      <c r="B190" s="49"/>
      <c r="C190" s="50">
        <f>Zusatzeingaben!C192</f>
        <v>0</v>
      </c>
      <c r="D190" s="50">
        <f>Zusatzeingaben!D192</f>
        <v>0</v>
      </c>
      <c r="E190" s="50">
        <f>Zusatzeingaben!E192</f>
        <v>0</v>
      </c>
      <c r="F190" s="50">
        <f>Zusatzeingaben!F192</f>
        <v>0</v>
      </c>
      <c r="G190" s="50">
        <f>Zusatzeingaben!G192</f>
        <v>0</v>
      </c>
      <c r="H190" s="50">
        <f>Zusatzeingaben!H192</f>
        <v>0</v>
      </c>
      <c r="I190" s="119">
        <f>Zusatzeingaben!I192</f>
        <v>0</v>
      </c>
    </row>
    <row r="191" spans="1:9" s="2" customFormat="1" ht="20.100000000000001" customHeight="1">
      <c r="A191" s="631" t="str">
        <f>Zusatzeingaben!A193</f>
        <v xml:space="preserve">Unterhalt </v>
      </c>
      <c r="B191" s="44"/>
      <c r="C191" s="48">
        <f>Zusatzeingaben!C193</f>
        <v>0</v>
      </c>
      <c r="D191" s="48">
        <f>Zusatzeingaben!D193</f>
        <v>0</v>
      </c>
      <c r="E191" s="48">
        <f>Zusatzeingaben!E193</f>
        <v>0</v>
      </c>
      <c r="F191" s="48">
        <f>Zusatzeingaben!F193</f>
        <v>0</v>
      </c>
      <c r="G191" s="48">
        <f>Zusatzeingaben!G193</f>
        <v>0</v>
      </c>
      <c r="H191" s="48">
        <f>Zusatzeingaben!H193</f>
        <v>0</v>
      </c>
      <c r="I191" s="98">
        <f>Zusatzeingaben!I193</f>
        <v>0</v>
      </c>
    </row>
    <row r="192" spans="1:9" s="2" customFormat="1" ht="20.100000000000001" customHeight="1">
      <c r="A192" s="79" t="s">
        <v>81</v>
      </c>
      <c r="B192" s="22"/>
      <c r="C192" s="24"/>
      <c r="D192" s="24"/>
      <c r="E192" s="417">
        <f>Zusatzeingaben!E194</f>
        <v>0</v>
      </c>
      <c r="F192" s="417">
        <f>Zusatzeingaben!F194</f>
        <v>0</v>
      </c>
      <c r="G192" s="417">
        <f>Zusatzeingaben!G194</f>
        <v>0</v>
      </c>
      <c r="H192" s="417">
        <f>Zusatzeingaben!H194</f>
        <v>0</v>
      </c>
      <c r="I192" s="423">
        <f>Zusatzeingaben!I194</f>
        <v>0</v>
      </c>
    </row>
    <row r="193" spans="1:10" s="2" customFormat="1" ht="20.100000000000001" hidden="1" customHeight="1">
      <c r="A193" s="112"/>
      <c r="B193" s="40"/>
      <c r="C193" s="47">
        <f>C191</f>
        <v>0</v>
      </c>
      <c r="D193" s="47">
        <f>D191</f>
        <v>0</v>
      </c>
      <c r="E193" s="47">
        <f>E191+E192</f>
        <v>0</v>
      </c>
      <c r="F193" s="47">
        <f>F191+F192</f>
        <v>0</v>
      </c>
      <c r="G193" s="47">
        <f>G191+G192</f>
        <v>0</v>
      </c>
      <c r="H193" s="47">
        <f>H191+H192</f>
        <v>0</v>
      </c>
      <c r="I193" s="116">
        <f>I191+I192</f>
        <v>0</v>
      </c>
    </row>
    <row r="194" spans="1:10" s="2" customFormat="1" ht="20.100000000000001" customHeight="1">
      <c r="A194" s="584" t="str">
        <f>Zusatzeingaben!A196</f>
        <v>Arbeitslosengeld</v>
      </c>
      <c r="B194" s="40"/>
      <c r="C194" s="43">
        <f>Zusatzeingaben!C196</f>
        <v>0</v>
      </c>
      <c r="D194" s="43">
        <f>Zusatzeingaben!D196</f>
        <v>0</v>
      </c>
      <c r="E194" s="43">
        <f>Zusatzeingaben!E196</f>
        <v>0</v>
      </c>
      <c r="F194" s="43">
        <f>Zusatzeingaben!F196</f>
        <v>0</v>
      </c>
      <c r="G194" s="43">
        <f>Zusatzeingaben!G196</f>
        <v>0</v>
      </c>
      <c r="H194" s="43">
        <f>Zusatzeingaben!H196</f>
        <v>0</v>
      </c>
      <c r="I194" s="115">
        <f>Zusatzeingaben!I196</f>
        <v>0</v>
      </c>
    </row>
    <row r="195" spans="1:10" s="2" customFormat="1" ht="20.100000000000001" customHeight="1">
      <c r="A195" s="99" t="s">
        <v>79</v>
      </c>
      <c r="B195" s="40"/>
      <c r="C195" s="43">
        <f>Zusatzeingaben!C197</f>
        <v>0</v>
      </c>
      <c r="D195" s="43">
        <f>Zusatzeingaben!D197</f>
        <v>0</v>
      </c>
      <c r="E195" s="47"/>
      <c r="F195" s="47"/>
      <c r="G195" s="47"/>
      <c r="H195" s="47"/>
      <c r="I195" s="116"/>
    </row>
    <row r="196" spans="1:10" s="2" customFormat="1" ht="20.100000000000001" customHeight="1">
      <c r="A196" s="90" t="str">
        <f>Zusatzeingaben!A198</f>
        <v>Krankengeld</v>
      </c>
      <c r="B196" s="22"/>
      <c r="C196" s="26">
        <f>Zusatzeingaben!C198</f>
        <v>0</v>
      </c>
      <c r="D196" s="26">
        <f>Zusatzeingaben!D198</f>
        <v>0</v>
      </c>
      <c r="E196" s="26">
        <f>Zusatzeingaben!E198</f>
        <v>0</v>
      </c>
      <c r="F196" s="26">
        <f>Zusatzeingaben!F198</f>
        <v>0</v>
      </c>
      <c r="G196" s="26">
        <f>Zusatzeingaben!G198</f>
        <v>0</v>
      </c>
      <c r="H196" s="26">
        <f>Zusatzeingaben!H198</f>
        <v>0</v>
      </c>
      <c r="I196" s="46">
        <f>Zusatzeingaben!I198</f>
        <v>0</v>
      </c>
    </row>
    <row r="197" spans="1:10" s="2" customFormat="1" ht="20.100000000000001" customHeight="1" thickBot="1">
      <c r="A197" s="94" t="str">
        <f>Zusatzeingaben!A199</f>
        <v>sonstiges Einkommen</v>
      </c>
      <c r="B197" s="12"/>
      <c r="C197" s="39">
        <f>Zusatzeingaben!C199</f>
        <v>0</v>
      </c>
      <c r="D197" s="39">
        <f>Zusatzeingaben!D199</f>
        <v>0</v>
      </c>
      <c r="E197" s="39">
        <f>Zusatzeingaben!E199</f>
        <v>0</v>
      </c>
      <c r="F197" s="39">
        <f>Zusatzeingaben!F199</f>
        <v>0</v>
      </c>
      <c r="G197" s="39">
        <f>Zusatzeingaben!G199</f>
        <v>0</v>
      </c>
      <c r="H197" s="39">
        <f>Zusatzeingaben!H199</f>
        <v>0</v>
      </c>
      <c r="I197" s="96">
        <f>Zusatzeingaben!I199</f>
        <v>0</v>
      </c>
    </row>
    <row r="198" spans="1:10" s="2" customFormat="1" ht="20.100000000000001" hidden="1" customHeight="1">
      <c r="A198" s="421"/>
      <c r="B198" s="55"/>
      <c r="C198" s="57">
        <f>C172+C178+C190+C193+C194+C195+C196+C197</f>
        <v>0</v>
      </c>
      <c r="D198" s="57">
        <f t="shared" ref="D198:I198" si="78">D172+D178+D190+D193+D194+D195+D196+D197</f>
        <v>0</v>
      </c>
      <c r="E198" s="57">
        <f t="shared" si="78"/>
        <v>0</v>
      </c>
      <c r="F198" s="57">
        <f t="shared" si="78"/>
        <v>0</v>
      </c>
      <c r="G198" s="57">
        <f t="shared" si="78"/>
        <v>0</v>
      </c>
      <c r="H198" s="57">
        <f t="shared" si="78"/>
        <v>0</v>
      </c>
      <c r="I198" s="57">
        <f t="shared" si="78"/>
        <v>0</v>
      </c>
    </row>
    <row r="199" spans="1:10" s="2" customFormat="1" ht="21" hidden="1" customHeight="1" thickBot="1">
      <c r="A199" s="127" t="s">
        <v>26</v>
      </c>
      <c r="B199" s="45"/>
      <c r="C199" s="45">
        <f t="shared" ref="C199:I199" si="79">C190+C193+C194+C195+C196+C197+C141+C139+C172+C178</f>
        <v>0</v>
      </c>
      <c r="D199" s="45">
        <f t="shared" si="79"/>
        <v>0</v>
      </c>
      <c r="E199" s="45">
        <f t="shared" si="79"/>
        <v>0</v>
      </c>
      <c r="F199" s="45">
        <f t="shared" si="79"/>
        <v>0</v>
      </c>
      <c r="G199" s="45">
        <f t="shared" si="79"/>
        <v>0</v>
      </c>
      <c r="H199" s="45">
        <f t="shared" si="79"/>
        <v>0</v>
      </c>
      <c r="I199" s="45">
        <f t="shared" si="79"/>
        <v>0</v>
      </c>
    </row>
    <row r="200" spans="1:10" s="2" customFormat="1" ht="22.15" customHeight="1">
      <c r="A200" s="178" t="s">
        <v>66</v>
      </c>
      <c r="B200" s="354" t="s">
        <v>30</v>
      </c>
      <c r="C200" s="354" t="str">
        <f t="shared" ref="C200:I200" si="80">C4</f>
        <v>Antragsteller</v>
      </c>
      <c r="D200" s="354" t="str">
        <f t="shared" si="80"/>
        <v>Partner(in)</v>
      </c>
      <c r="E200" s="354" t="str">
        <f t="shared" si="80"/>
        <v>Kind 1</v>
      </c>
      <c r="F200" s="354" t="str">
        <f t="shared" si="80"/>
        <v>Kind 2</v>
      </c>
      <c r="G200" s="354" t="str">
        <f t="shared" si="80"/>
        <v>Kind 3</v>
      </c>
      <c r="H200" s="354" t="str">
        <f t="shared" si="80"/>
        <v>Kind 4</v>
      </c>
      <c r="I200" s="355" t="str">
        <f t="shared" si="80"/>
        <v>Kind 5</v>
      </c>
    </row>
    <row r="201" spans="1:10" s="2" customFormat="1" ht="20.100000000000001" customHeight="1">
      <c r="A201" s="97" t="s">
        <v>74</v>
      </c>
      <c r="B201" s="22"/>
      <c r="C201" s="62">
        <f>IF(AND(C22&gt;17,C199&gt;0),30,0)</f>
        <v>0</v>
      </c>
      <c r="D201" s="62">
        <f>IF(AND(D22&gt;17,D199&gt;0),30,0)</f>
        <v>0</v>
      </c>
      <c r="E201" s="62">
        <f>IF(AND(E18&gt;17,E18&lt;113,E199&gt;0),30,0)</f>
        <v>0</v>
      </c>
      <c r="F201" s="62">
        <f>IF(AND(F18&gt;17,F18&lt;113,F199&gt;0),30,0)</f>
        <v>0</v>
      </c>
      <c r="G201" s="62">
        <f>IF(AND(G18&gt;17,G18&lt;113,G199&gt;0),30,0)</f>
        <v>0</v>
      </c>
      <c r="H201" s="62">
        <f>IF(AND(H18&gt;17,H18&lt;113,H199&gt;0),30,0)</f>
        <v>0</v>
      </c>
      <c r="I201" s="110">
        <f>IF(AND(I18&gt;17,I18&lt;113,I199&gt;0),30,0)</f>
        <v>0</v>
      </c>
    </row>
    <row r="202" spans="1:10" s="2" customFormat="1" ht="20.100000000000001" customHeight="1">
      <c r="A202" s="97" t="s">
        <v>75</v>
      </c>
      <c r="B202" s="22"/>
      <c r="C202" s="26">
        <f>Zusatzeingaben!C204</f>
        <v>0</v>
      </c>
      <c r="D202" s="26">
        <f>Zusatzeingaben!D204</f>
        <v>0</v>
      </c>
      <c r="E202" s="26">
        <f>Zusatzeingaben!E204</f>
        <v>0</v>
      </c>
      <c r="F202" s="26">
        <f>Zusatzeingaben!F204</f>
        <v>0</v>
      </c>
      <c r="G202" s="26">
        <f>Zusatzeingaben!G204</f>
        <v>0</v>
      </c>
      <c r="H202" s="26">
        <f>Zusatzeingaben!H204</f>
        <v>0</v>
      </c>
      <c r="I202" s="46">
        <f>Zusatzeingaben!I204</f>
        <v>0</v>
      </c>
    </row>
    <row r="203" spans="1:10" s="2" customFormat="1" ht="20.100000000000001" customHeight="1" thickBot="1">
      <c r="A203" s="168" t="s">
        <v>286</v>
      </c>
      <c r="B203" s="44"/>
      <c r="C203" s="48">
        <f>Zusatzeingaben!C205</f>
        <v>0</v>
      </c>
      <c r="D203" s="48">
        <f>Zusatzeingaben!D205</f>
        <v>0</v>
      </c>
      <c r="E203" s="48">
        <f>Zusatzeingaben!E205</f>
        <v>0</v>
      </c>
      <c r="F203" s="48">
        <f>Zusatzeingaben!F205</f>
        <v>0</v>
      </c>
      <c r="G203" s="48">
        <f>Zusatzeingaben!G205</f>
        <v>0</v>
      </c>
      <c r="H203" s="45">
        <f>Zusatzeingaben!H205</f>
        <v>0</v>
      </c>
      <c r="I203" s="921">
        <f>Zusatzeingaben!I205</f>
        <v>0</v>
      </c>
      <c r="J203" s="111"/>
    </row>
    <row r="204" spans="1:10" s="2" customFormat="1" ht="20.100000000000001" customHeight="1">
      <c r="A204" s="179" t="s">
        <v>73</v>
      </c>
      <c r="B204" s="49"/>
      <c r="C204" s="51"/>
      <c r="D204" s="51"/>
      <c r="E204" s="51"/>
      <c r="F204" s="51"/>
      <c r="G204" s="51"/>
      <c r="H204" s="51"/>
      <c r="I204" s="52"/>
    </row>
    <row r="205" spans="1:10" s="2" customFormat="1" ht="20.100000000000001" customHeight="1">
      <c r="A205" s="651" t="s">
        <v>204</v>
      </c>
      <c r="B205" s="40"/>
      <c r="C205" s="714" t="b">
        <v>0</v>
      </c>
      <c r="D205" s="714" t="b">
        <v>0</v>
      </c>
      <c r="E205" s="714" t="b">
        <v>0</v>
      </c>
      <c r="F205" s="714" t="b">
        <v>0</v>
      </c>
      <c r="G205" s="47"/>
      <c r="H205" s="47"/>
      <c r="I205" s="116"/>
    </row>
    <row r="206" spans="1:10" s="2" customFormat="1" ht="20.100000000000001" customHeight="1">
      <c r="A206" s="63" t="s">
        <v>202</v>
      </c>
      <c r="B206" s="22"/>
      <c r="C206" s="26">
        <f>Zusatzeingaben!C209</f>
        <v>0</v>
      </c>
      <c r="D206" s="26">
        <f>Zusatzeingaben!D209</f>
        <v>0</v>
      </c>
      <c r="E206" s="26">
        <f>Zusatzeingaben!E209</f>
        <v>0</v>
      </c>
      <c r="F206" s="26">
        <f>Zusatzeingaben!F209</f>
        <v>0</v>
      </c>
      <c r="G206" s="24"/>
      <c r="H206" s="24"/>
      <c r="I206" s="53"/>
    </row>
    <row r="207" spans="1:10" s="2" customFormat="1" ht="16.5">
      <c r="A207" s="63" t="s">
        <v>203</v>
      </c>
      <c r="B207" s="22"/>
      <c r="C207" s="59">
        <f>Zusatzeingaben!C210</f>
        <v>0</v>
      </c>
      <c r="D207" s="59">
        <f>Zusatzeingaben!D210</f>
        <v>0</v>
      </c>
      <c r="E207" s="161"/>
      <c r="F207" s="161"/>
      <c r="G207" s="161"/>
      <c r="H207" s="161"/>
      <c r="I207" s="172"/>
    </row>
    <row r="208" spans="1:10" s="2" customFormat="1" ht="16.5" hidden="1">
      <c r="A208" s="113"/>
      <c r="B208" s="55"/>
      <c r="C208" s="132">
        <f>IF(C207=1,C206*1.5%,IF(C207&gt;1,5,C206*3%))</f>
        <v>0</v>
      </c>
      <c r="D208" s="132">
        <f>IF(D207=1,D206*1.5%,IF(D207&gt;1,5,D206*3%))</f>
        <v>0</v>
      </c>
      <c r="E208" s="132">
        <f>E206*3%</f>
        <v>0</v>
      </c>
      <c r="F208" s="132">
        <f>F206*3%</f>
        <v>0</v>
      </c>
      <c r="G208" s="132"/>
      <c r="H208" s="132"/>
      <c r="I208" s="133"/>
    </row>
    <row r="209" spans="1:9" s="2" customFormat="1" ht="20.100000000000001" hidden="1" customHeight="1">
      <c r="A209" s="174"/>
      <c r="B209" s="6"/>
      <c r="C209" s="137">
        <f>IF(C208&lt;5,5,C208)</f>
        <v>5</v>
      </c>
      <c r="D209" s="137">
        <f t="shared" ref="D209:F209" si="81">IF(D208&lt;5,5,D208)</f>
        <v>5</v>
      </c>
      <c r="E209" s="137">
        <f t="shared" si="81"/>
        <v>5</v>
      </c>
      <c r="F209" s="137">
        <f t="shared" si="81"/>
        <v>5</v>
      </c>
      <c r="G209" s="137"/>
      <c r="H209" s="137"/>
      <c r="I209" s="175"/>
    </row>
    <row r="210" spans="1:9" s="2" customFormat="1" ht="20.100000000000001" hidden="1" customHeight="1">
      <c r="A210" s="174"/>
      <c r="B210" s="6"/>
      <c r="C210" s="137">
        <f>IF(Zusatzeingaben!C208=TRUE,C209,0)</f>
        <v>0</v>
      </c>
      <c r="D210" s="137">
        <f>IF(Zusatzeingaben!D208=TRUE,D209,0)</f>
        <v>0</v>
      </c>
      <c r="E210" s="137">
        <f>IF(Zusatzeingaben!E208=TRUE,E209,0)</f>
        <v>0</v>
      </c>
      <c r="F210" s="137">
        <f>IF(Zusatzeingaben!F208=TRUE,F209,0)</f>
        <v>0</v>
      </c>
      <c r="G210" s="137"/>
      <c r="H210" s="137"/>
      <c r="I210" s="175"/>
    </row>
    <row r="211" spans="1:9" s="2" customFormat="1" ht="16.5" hidden="1">
      <c r="A211" s="134" t="s">
        <v>90</v>
      </c>
      <c r="B211" s="135"/>
      <c r="C211" s="136">
        <f t="shared" ref="C211:I211" si="82">C201+C202+C203+C210</f>
        <v>0</v>
      </c>
      <c r="D211" s="136">
        <f t="shared" si="82"/>
        <v>0</v>
      </c>
      <c r="E211" s="136">
        <f t="shared" si="82"/>
        <v>0</v>
      </c>
      <c r="F211" s="136">
        <f t="shared" si="82"/>
        <v>0</v>
      </c>
      <c r="G211" s="136">
        <f t="shared" si="82"/>
        <v>0</v>
      </c>
      <c r="H211" s="136">
        <f t="shared" si="82"/>
        <v>0</v>
      </c>
      <c r="I211" s="176">
        <f t="shared" si="82"/>
        <v>0</v>
      </c>
    </row>
    <row r="212" spans="1:9" s="2" customFormat="1" ht="16.5" hidden="1">
      <c r="A212" s="134" t="s">
        <v>92</v>
      </c>
      <c r="B212" s="135"/>
      <c r="C212" s="136">
        <f>C211+C124+C127+C147</f>
        <v>0</v>
      </c>
      <c r="D212" s="136">
        <f t="shared" ref="D212:I212" si="83">D211+D124+D127+D147</f>
        <v>0</v>
      </c>
      <c r="E212" s="136">
        <f t="shared" si="83"/>
        <v>0</v>
      </c>
      <c r="F212" s="136">
        <f t="shared" si="83"/>
        <v>0</v>
      </c>
      <c r="G212" s="136">
        <f t="shared" si="83"/>
        <v>0</v>
      </c>
      <c r="H212" s="136">
        <f t="shared" si="83"/>
        <v>0</v>
      </c>
      <c r="I212" s="176">
        <f t="shared" si="83"/>
        <v>0</v>
      </c>
    </row>
    <row r="213" spans="1:9" s="2" customFormat="1" ht="16.5" hidden="1">
      <c r="A213" s="141"/>
      <c r="B213" s="40"/>
      <c r="C213" s="47">
        <f>IF(C212&lt;100,100,C212)</f>
        <v>100</v>
      </c>
      <c r="D213" s="47">
        <f t="shared" ref="D213:I213" si="84">IF(D212&lt;100,100,D212)</f>
        <v>100</v>
      </c>
      <c r="E213" s="47">
        <f t="shared" si="84"/>
        <v>100</v>
      </c>
      <c r="F213" s="47">
        <f t="shared" si="84"/>
        <v>100</v>
      </c>
      <c r="G213" s="47">
        <f t="shared" si="84"/>
        <v>100</v>
      </c>
      <c r="H213" s="47">
        <f t="shared" si="84"/>
        <v>100</v>
      </c>
      <c r="I213" s="116">
        <f t="shared" si="84"/>
        <v>100</v>
      </c>
    </row>
    <row r="214" spans="1:9" s="2" customFormat="1" ht="16.5" hidden="1">
      <c r="A214" s="141"/>
      <c r="B214" s="40"/>
      <c r="C214" s="47">
        <f>IF(C212&lt;200,200,C212)</f>
        <v>200</v>
      </c>
      <c r="D214" s="47">
        <f t="shared" ref="D214:I214" si="85">IF(D212&lt;200,200,D212)</f>
        <v>200</v>
      </c>
      <c r="E214" s="47">
        <f t="shared" si="85"/>
        <v>200</v>
      </c>
      <c r="F214" s="47">
        <f t="shared" si="85"/>
        <v>200</v>
      </c>
      <c r="G214" s="47">
        <f t="shared" si="85"/>
        <v>200</v>
      </c>
      <c r="H214" s="47">
        <f t="shared" si="85"/>
        <v>200</v>
      </c>
      <c r="I214" s="116">
        <f t="shared" si="85"/>
        <v>200</v>
      </c>
    </row>
    <row r="215" spans="1:9" s="2" customFormat="1" ht="33" customHeight="1">
      <c r="A215" s="124" t="str">
        <f>Zusatzeingaben!A218</f>
        <v>Direktabzug: z.B. notwendige Ausgaben für die Einnahmen Kindergeld bis sonstiges Einkommen</v>
      </c>
      <c r="B215" s="22"/>
      <c r="C215" s="26">
        <f>Zusatzeingaben!C218</f>
        <v>0</v>
      </c>
      <c r="D215" s="26">
        <f>Zusatzeingaben!D218</f>
        <v>0</v>
      </c>
      <c r="E215" s="26">
        <f>Zusatzeingaben!E218</f>
        <v>0</v>
      </c>
      <c r="F215" s="26">
        <f>Zusatzeingaben!F218</f>
        <v>0</v>
      </c>
      <c r="G215" s="26">
        <f>Zusatzeingaben!G218</f>
        <v>0</v>
      </c>
      <c r="H215" s="26">
        <f>Zusatzeingaben!H218</f>
        <v>0</v>
      </c>
      <c r="I215" s="46">
        <f>Zusatzeingaben!I218</f>
        <v>0</v>
      </c>
    </row>
    <row r="216" spans="1:9" ht="20.100000000000001" customHeight="1">
      <c r="A216" s="97" t="s">
        <v>77</v>
      </c>
      <c r="B216" s="22"/>
      <c r="C216" s="26">
        <f>Zusatzeingaben!C219</f>
        <v>0</v>
      </c>
      <c r="D216" s="26">
        <f>Zusatzeingaben!D219</f>
        <v>0</v>
      </c>
      <c r="E216" s="24"/>
      <c r="F216" s="24"/>
      <c r="G216" s="24"/>
      <c r="H216" s="24"/>
      <c r="I216" s="53"/>
    </row>
    <row r="217" spans="1:9" s="2" customFormat="1" ht="20.100000000000001" customHeight="1">
      <c r="A217" s="79" t="s">
        <v>215</v>
      </c>
      <c r="B217" s="710"/>
      <c r="C217" s="59">
        <f>Zusatzeingaben!C221</f>
        <v>0</v>
      </c>
      <c r="D217" s="59">
        <f>Zusatzeingaben!D221</f>
        <v>0</v>
      </c>
      <c r="E217" s="59">
        <f>Zusatzeingaben!E221</f>
        <v>0</v>
      </c>
      <c r="F217" s="59">
        <f>Zusatzeingaben!F221</f>
        <v>0</v>
      </c>
      <c r="G217" s="59">
        <f>Zusatzeingaben!G221</f>
        <v>0</v>
      </c>
      <c r="H217" s="59">
        <f>Zusatzeingaben!H221</f>
        <v>0</v>
      </c>
      <c r="I217" s="60">
        <f>Zusatzeingaben!I221</f>
        <v>0</v>
      </c>
    </row>
    <row r="218" spans="1:9" s="2" customFormat="1" ht="20.100000000000001" customHeight="1">
      <c r="A218" s="79" t="s">
        <v>216</v>
      </c>
      <c r="B218" s="710"/>
      <c r="C218" s="59">
        <f>Zusatzeingaben!C222</f>
        <v>0</v>
      </c>
      <c r="D218" s="59">
        <f>Zusatzeingaben!D222</f>
        <v>0</v>
      </c>
      <c r="E218" s="59">
        <f>Zusatzeingaben!E222</f>
        <v>0</v>
      </c>
      <c r="F218" s="59">
        <f>Zusatzeingaben!F222</f>
        <v>0</v>
      </c>
      <c r="G218" s="59">
        <f>Zusatzeingaben!G222</f>
        <v>0</v>
      </c>
      <c r="H218" s="59">
        <f>Zusatzeingaben!H222</f>
        <v>0</v>
      </c>
      <c r="I218" s="60">
        <f>Zusatzeingaben!I222</f>
        <v>0</v>
      </c>
    </row>
    <row r="219" spans="1:9" s="2" customFormat="1" ht="20.100000000000001" hidden="1" customHeight="1">
      <c r="A219" s="79"/>
      <c r="B219" s="710"/>
      <c r="C219" s="663">
        <f>IF(C218="1. PV",C33*30%,IF(C218="2. PV",C33*60%,IF(C218="3. PV",'Berechnung mit Einmalzahlung'!C177,0)))</f>
        <v>0</v>
      </c>
      <c r="D219" s="663">
        <f>IF(D218="1. PV",D33*30%,IF(D218="2. PV",D33*60%,IF(D218="3. PV",'Berechnung mit Einmalzahlung'!D177,0)))</f>
        <v>0</v>
      </c>
      <c r="E219" s="663">
        <f>IF(E218="1. PV",E33*30%,IF(E218="2. PV",E33*60%,IF(E218="3. PV",'Berechnung mit Einmalzahlung'!E177,0)))</f>
        <v>0</v>
      </c>
      <c r="F219" s="663">
        <f>IF(F218="1. PV",F33*30%,IF(F218="2. PV",F33*60%,IF(F218="3. PV",'Berechnung mit Einmalzahlung'!F177,0)))</f>
        <v>0</v>
      </c>
      <c r="G219" s="663">
        <f>IF(G218="1. PV",G33*30%,IF(G218="2. PV",G33*60%,IF(G218="3. PV",'Berechnung mit Einmalzahlung'!G177,0)))</f>
        <v>0</v>
      </c>
      <c r="H219" s="663">
        <f>IF(H218="1. PV",H33*30%,IF(H218="2. PV",H33*60%,IF(H218="3. PV",'Berechnung mit Einmalzahlung'!H177,0)))</f>
        <v>0</v>
      </c>
      <c r="I219" s="711">
        <f>IF(I218="1. PV",I33*30%,IF(I218="2. PV",I33*60%,IF(I218="3. PV",'Berechnung mit Einmalzahlung'!I177,0)))</f>
        <v>0</v>
      </c>
    </row>
    <row r="220" spans="1:9" s="2" customFormat="1" ht="20.100000000000001" hidden="1" customHeight="1">
      <c r="A220" s="79"/>
      <c r="B220" s="710"/>
      <c r="C220" s="663">
        <f>IF(C218="1. PV",'Berechnung mit Einmalzahlung'!C179,IF(C218="2. PV",'Berechnung mit Einmalzahlung'!C177,IF(C218="3. PV",'Berechnung mit Einmalzahlung'!C177,0)))</f>
        <v>0</v>
      </c>
      <c r="D220" s="663">
        <f>IF(D218="1. PV",'Berechnung mit Einmalzahlung'!D179,IF(D218="2. PV",'Berechnung mit Einmalzahlung'!D177,IF(D218="3. PV",'Berechnung mit Einmalzahlung'!D177,0)))</f>
        <v>0</v>
      </c>
      <c r="E220" s="663">
        <f>IF(E218="1. PV",'Berechnung mit Einmalzahlung'!E179,IF(E218="2. PV",'Berechnung mit Einmalzahlung'!E177,IF(E218="3. PV",'Berechnung mit Einmalzahlung'!E177,0)))</f>
        <v>0</v>
      </c>
      <c r="F220" s="663">
        <f>IF(F218="1. PV",'Berechnung mit Einmalzahlung'!F179,IF(F218="2. PV",'Berechnung mit Einmalzahlung'!F177,IF(F218="3. PV",'Berechnung mit Einmalzahlung'!F177,0)))</f>
        <v>0</v>
      </c>
      <c r="G220" s="663">
        <f>IF(G218="1. PV",'Berechnung mit Einmalzahlung'!G179,IF(G218="2. PV",'Berechnung mit Einmalzahlung'!G177,IF(G218="3. PV",'Berechnung mit Einmalzahlung'!G177,0)))</f>
        <v>0</v>
      </c>
      <c r="H220" s="663">
        <f>IF(H218="1. PV",'Berechnung mit Einmalzahlung'!H179,IF(H218="2. PV",'Berechnung mit Einmalzahlung'!H177,IF(H218="3. PV",'Berechnung mit Einmalzahlung'!H177,0)))</f>
        <v>0</v>
      </c>
      <c r="I220" s="711">
        <f>IF(I218="1. PV",'Berechnung mit Einmalzahlung'!I179,IF(I218="2. PV",'Berechnung mit Einmalzahlung'!I177,IF(I218="3. PV",'Berechnung mit Einmalzahlung'!I177,0)))</f>
        <v>0</v>
      </c>
    </row>
    <row r="221" spans="1:9" s="2" customFormat="1" ht="20.100000000000001" hidden="1" customHeight="1">
      <c r="A221" s="79"/>
      <c r="B221" s="710"/>
      <c r="C221" s="663">
        <f>IF(C222="unter 25",C220,C219)</f>
        <v>0</v>
      </c>
      <c r="D221" s="663">
        <f t="shared" ref="D221:E221" si="86">IF(D222="unter 25",D220,D219)</f>
        <v>0</v>
      </c>
      <c r="E221" s="663">
        <f t="shared" si="86"/>
        <v>0</v>
      </c>
      <c r="F221" s="659">
        <f>F220</f>
        <v>0</v>
      </c>
      <c r="G221" s="659">
        <f t="shared" ref="G221:I221" si="87">G220</f>
        <v>0</v>
      </c>
      <c r="H221" s="659">
        <f t="shared" si="87"/>
        <v>0</v>
      </c>
      <c r="I221" s="712">
        <f t="shared" si="87"/>
        <v>0</v>
      </c>
    </row>
    <row r="222" spans="1:9" s="2" customFormat="1" ht="20.100000000000001" customHeight="1" thickBot="1">
      <c r="A222" s="123" t="s">
        <v>217</v>
      </c>
      <c r="B222" s="4"/>
      <c r="C222" s="660">
        <f>Zusatzeingaben!C226</f>
        <v>0</v>
      </c>
      <c r="D222" s="660">
        <f>Zusatzeingaben!D226</f>
        <v>0</v>
      </c>
      <c r="E222" s="660">
        <f>Zusatzeingaben!E226</f>
        <v>0</v>
      </c>
      <c r="F222" s="662"/>
      <c r="G222" s="662"/>
      <c r="H222" s="662"/>
      <c r="I222" s="713"/>
    </row>
    <row r="223" spans="1:9" s="2" customFormat="1" ht="20.100000000000001" hidden="1" customHeight="1">
      <c r="A223" s="255" t="s">
        <v>43</v>
      </c>
      <c r="B223" s="64"/>
      <c r="C223" s="709">
        <f>VLOOKUP(E2,Bedarfssätze!B7:C17,2)</f>
        <v>409</v>
      </c>
      <c r="D223" s="709">
        <f>VLOOKUP(E2,Bedarfssätze!E7:F17,2)</f>
        <v>368</v>
      </c>
      <c r="E223" s="709">
        <f>VLOOKUP(E2,Bedarfssätze!H7:I17,2)</f>
        <v>327</v>
      </c>
      <c r="F223" s="709">
        <f>VLOOKUP(E2,Bedarfssätze!B25:C35,2)</f>
        <v>311</v>
      </c>
      <c r="G223" s="709">
        <f>VLOOKUP(E2,Bedarfssätze!E25:F35,2)</f>
        <v>291</v>
      </c>
      <c r="H223" s="709">
        <f>VLOOKUP(E2,Bedarfssätze!H25:I35,2)</f>
        <v>237</v>
      </c>
      <c r="I223" s="64"/>
    </row>
    <row r="224" spans="1:9" s="2" customFormat="1" ht="20.100000000000001" customHeight="1">
      <c r="A224" s="1473"/>
      <c r="B224" s="570"/>
      <c r="C224" s="1489" t="b">
        <v>0</v>
      </c>
      <c r="D224" s="1489" t="b">
        <v>0</v>
      </c>
      <c r="E224" s="183"/>
      <c r="F224" s="180"/>
      <c r="G224" s="180"/>
      <c r="H224" s="180"/>
      <c r="I224" s="180"/>
    </row>
    <row r="225" spans="1:9" s="2" customFormat="1" ht="20.100000000000001" customHeight="1" thickBot="1">
      <c r="A225" s="180"/>
      <c r="B225" s="180"/>
      <c r="C225" s="180"/>
      <c r="D225" s="180"/>
      <c r="E225" s="180"/>
      <c r="F225" s="180"/>
      <c r="G225" s="180"/>
      <c r="H225" s="180"/>
      <c r="I225" s="180"/>
    </row>
    <row r="226" spans="1:9" s="5" customFormat="1" ht="20.100000000000001" customHeight="1" thickBot="1">
      <c r="A226" s="256" t="s">
        <v>104</v>
      </c>
      <c r="B226" s="426">
        <f>IF(Änderung!B161&gt;0,Änderung!B161,"")</f>
        <v>409</v>
      </c>
      <c r="C226" s="182"/>
      <c r="D226" s="64"/>
      <c r="E226" s="64"/>
      <c r="F226" s="64"/>
      <c r="G226" s="64"/>
      <c r="H226" s="64"/>
      <c r="I226" s="64"/>
    </row>
    <row r="227" spans="1:9" s="5" customFormat="1" ht="20.100000000000001" customHeight="1">
      <c r="A227" s="181"/>
      <c r="B227" s="64"/>
      <c r="C227" s="64"/>
      <c r="D227" s="64"/>
      <c r="E227" s="64"/>
      <c r="F227" s="64"/>
      <c r="G227" s="64"/>
      <c r="H227" s="64"/>
      <c r="I227" s="64"/>
    </row>
    <row r="228" spans="1:9" s="2" customFormat="1" ht="20.100000000000001" customHeight="1">
      <c r="A228" s="180"/>
      <c r="B228" s="64"/>
      <c r="C228" s="64"/>
      <c r="D228" s="64"/>
      <c r="E228" s="64"/>
      <c r="F228" s="64"/>
      <c r="G228" s="64"/>
      <c r="H228" s="64"/>
      <c r="I228" s="64"/>
    </row>
    <row r="229" spans="1:9" s="2" customFormat="1" ht="20.100000000000001" customHeight="1">
      <c r="A229" s="183"/>
      <c r="B229" s="183"/>
      <c r="C229" s="183"/>
      <c r="D229" s="183"/>
      <c r="E229" s="183"/>
      <c r="F229" s="183"/>
      <c r="G229" s="183"/>
      <c r="H229" s="183"/>
      <c r="I229" s="183"/>
    </row>
    <row r="230" spans="1:9" s="2" customFormat="1" ht="20.100000000000001" customHeight="1">
      <c r="A230" s="184"/>
      <c r="B230" s="64"/>
      <c r="C230" s="180"/>
      <c r="D230" s="185"/>
      <c r="E230" s="185"/>
      <c r="F230" s="185"/>
      <c r="G230" s="185"/>
      <c r="H230" s="185"/>
      <c r="I230" s="185"/>
    </row>
    <row r="231" spans="1:9" ht="20.100000000000001" customHeight="1">
      <c r="A231" s="186"/>
      <c r="B231" s="187"/>
      <c r="C231" s="187"/>
      <c r="D231" s="187"/>
      <c r="E231" s="187"/>
      <c r="F231" s="187"/>
      <c r="G231" s="187"/>
      <c r="H231" s="187"/>
      <c r="I231" s="187"/>
    </row>
    <row r="232" spans="1:9" ht="20.100000000000001" customHeight="1">
      <c r="A232" s="186"/>
      <c r="B232" s="187"/>
      <c r="C232" s="187"/>
      <c r="D232" s="187"/>
      <c r="E232" s="187"/>
      <c r="F232" s="187"/>
      <c r="G232" s="187"/>
      <c r="H232" s="187"/>
      <c r="I232" s="187"/>
    </row>
    <row r="233" spans="1:9" ht="20.100000000000001" customHeight="1">
      <c r="A233" s="186"/>
      <c r="B233" s="187"/>
      <c r="C233" s="187"/>
      <c r="D233" s="187"/>
      <c r="E233" s="187"/>
      <c r="F233" s="187"/>
      <c r="G233" s="187"/>
      <c r="H233" s="187"/>
      <c r="I233" s="187"/>
    </row>
    <row r="234" spans="1:9" ht="20.100000000000001" customHeight="1">
      <c r="A234" s="186"/>
      <c r="B234" s="187"/>
      <c r="C234" s="187"/>
      <c r="D234" s="187"/>
      <c r="E234" s="187"/>
      <c r="F234" s="187"/>
      <c r="G234" s="187"/>
      <c r="H234" s="187"/>
      <c r="I234" s="187"/>
    </row>
    <row r="235" spans="1:9" ht="20.100000000000001" customHeight="1">
      <c r="A235" s="186"/>
      <c r="B235" s="187"/>
      <c r="C235" s="187"/>
      <c r="D235" s="187"/>
      <c r="E235" s="187"/>
      <c r="F235" s="187"/>
      <c r="G235" s="187"/>
      <c r="H235" s="187"/>
      <c r="I235" s="187"/>
    </row>
    <row r="236" spans="1:9" ht="20.100000000000001" customHeight="1">
      <c r="A236" s="186"/>
      <c r="B236" s="187"/>
      <c r="C236" s="187"/>
      <c r="D236" s="187"/>
      <c r="E236" s="187"/>
      <c r="F236" s="187"/>
      <c r="G236" s="187"/>
      <c r="H236" s="187"/>
      <c r="I236" s="187"/>
    </row>
    <row r="237" spans="1:9" ht="20.100000000000001" customHeight="1">
      <c r="A237" s="186"/>
      <c r="B237" s="187"/>
      <c r="C237" s="187"/>
      <c r="D237" s="187"/>
      <c r="E237" s="187"/>
      <c r="F237" s="187"/>
      <c r="G237" s="187"/>
      <c r="H237" s="187"/>
      <c r="I237" s="187"/>
    </row>
    <row r="238" spans="1:9" ht="20.100000000000001" customHeight="1">
      <c r="A238" s="186"/>
      <c r="B238" s="187"/>
      <c r="C238" s="187"/>
      <c r="D238" s="187"/>
      <c r="E238" s="187"/>
      <c r="F238" s="187"/>
      <c r="G238" s="187"/>
      <c r="H238" s="187"/>
      <c r="I238" s="187"/>
    </row>
    <row r="239" spans="1:9" ht="20.100000000000001" customHeight="1">
      <c r="A239" s="186"/>
      <c r="B239" s="187"/>
      <c r="C239" s="187"/>
      <c r="D239" s="187"/>
      <c r="E239" s="187"/>
      <c r="F239" s="187"/>
      <c r="G239" s="187"/>
      <c r="H239" s="187"/>
      <c r="I239" s="187"/>
    </row>
    <row r="240" spans="1:9" ht="20.100000000000001" customHeight="1">
      <c r="A240" s="186"/>
      <c r="B240" s="186"/>
      <c r="C240" s="186"/>
      <c r="D240" s="186"/>
      <c r="E240" s="186"/>
      <c r="F240" s="186"/>
      <c r="G240" s="186"/>
      <c r="H240" s="186"/>
      <c r="I240" s="186"/>
    </row>
    <row r="241" spans="1:9" ht="20.100000000000001" customHeight="1">
      <c r="A241" s="186"/>
      <c r="B241" s="186"/>
      <c r="C241" s="186"/>
      <c r="D241" s="186"/>
      <c r="E241" s="186"/>
      <c r="F241" s="186"/>
      <c r="G241" s="186"/>
      <c r="H241" s="186"/>
      <c r="I241" s="186"/>
    </row>
    <row r="242" spans="1:9" ht="20.100000000000001" customHeight="1">
      <c r="A242" s="186"/>
      <c r="B242" s="186"/>
      <c r="C242" s="186"/>
      <c r="D242" s="186"/>
      <c r="E242" s="186"/>
      <c r="F242" s="186"/>
      <c r="G242" s="186"/>
      <c r="H242" s="186"/>
      <c r="I242" s="186"/>
    </row>
    <row r="243" spans="1:9" ht="20.100000000000001" customHeight="1">
      <c r="A243" s="186"/>
      <c r="B243" s="186"/>
      <c r="C243" s="186"/>
      <c r="D243" s="186"/>
      <c r="E243" s="186"/>
      <c r="F243" s="186"/>
      <c r="G243" s="186"/>
      <c r="H243" s="186"/>
      <c r="I243" s="186"/>
    </row>
    <row r="244" spans="1:9" ht="20.100000000000001" customHeight="1">
      <c r="A244" s="186"/>
      <c r="B244" s="186"/>
      <c r="C244" s="186"/>
      <c r="D244" s="186"/>
      <c r="E244" s="186"/>
      <c r="F244" s="186"/>
      <c r="G244" s="186"/>
      <c r="H244" s="186"/>
      <c r="I244" s="186"/>
    </row>
    <row r="245" spans="1:9" ht="20.100000000000001" customHeight="1">
      <c r="A245" s="186"/>
      <c r="B245" s="186"/>
      <c r="C245" s="186"/>
      <c r="D245" s="186"/>
      <c r="E245" s="186"/>
      <c r="F245" s="186"/>
      <c r="G245" s="186"/>
      <c r="H245" s="186"/>
      <c r="I245" s="186"/>
    </row>
    <row r="246" spans="1:9" ht="20.100000000000001" customHeight="1">
      <c r="A246" s="186"/>
      <c r="B246" s="186"/>
      <c r="C246" s="186"/>
      <c r="D246" s="186"/>
      <c r="E246" s="186"/>
      <c r="F246" s="186"/>
      <c r="G246" s="186"/>
      <c r="H246" s="186"/>
      <c r="I246" s="186"/>
    </row>
    <row r="247" spans="1:9" ht="20.100000000000001" customHeight="1">
      <c r="A247" s="186"/>
      <c r="B247" s="186"/>
      <c r="C247" s="186"/>
      <c r="D247" s="186"/>
      <c r="E247" s="186"/>
      <c r="F247" s="186"/>
      <c r="G247" s="186"/>
      <c r="H247" s="186"/>
      <c r="I247" s="186"/>
    </row>
    <row r="248" spans="1:9" ht="20.100000000000001" customHeight="1">
      <c r="A248" s="186"/>
      <c r="B248" s="186"/>
      <c r="C248" s="186"/>
      <c r="D248" s="186"/>
      <c r="E248" s="186"/>
      <c r="F248" s="186"/>
      <c r="G248" s="186"/>
      <c r="H248" s="186"/>
      <c r="I248" s="186"/>
    </row>
    <row r="249" spans="1:9" ht="20.100000000000001" customHeight="1">
      <c r="A249" s="186"/>
      <c r="B249" s="186"/>
      <c r="C249" s="186"/>
      <c r="D249" s="186"/>
      <c r="E249" s="186"/>
      <c r="F249" s="186"/>
      <c r="G249" s="186"/>
      <c r="H249" s="186"/>
      <c r="I249" s="186"/>
    </row>
    <row r="250" spans="1:9" ht="20.100000000000001" customHeight="1">
      <c r="A250" s="186"/>
      <c r="B250" s="186"/>
      <c r="C250" s="188"/>
      <c r="D250" s="188"/>
      <c r="E250" s="188"/>
      <c r="F250" s="188"/>
      <c r="G250" s="188"/>
      <c r="H250" s="188"/>
      <c r="I250" s="188"/>
    </row>
    <row r="251" spans="1:9" ht="20.100000000000001" customHeight="1">
      <c r="A251" s="186"/>
      <c r="B251" s="186"/>
      <c r="C251" s="188"/>
      <c r="D251" s="188"/>
      <c r="E251" s="188"/>
      <c r="F251" s="188"/>
      <c r="G251" s="188"/>
      <c r="H251" s="188"/>
      <c r="I251" s="188"/>
    </row>
    <row r="252" spans="1:9" ht="20.100000000000001" customHeight="1">
      <c r="A252" s="186"/>
      <c r="B252" s="186"/>
      <c r="C252" s="188"/>
      <c r="D252" s="188"/>
      <c r="E252" s="188"/>
      <c r="F252" s="188"/>
      <c r="G252" s="188"/>
      <c r="H252" s="188"/>
      <c r="I252" s="188"/>
    </row>
    <row r="253" spans="1:9" ht="20.100000000000001" customHeight="1">
      <c r="A253" s="186"/>
      <c r="B253" s="186"/>
      <c r="C253" s="188"/>
      <c r="D253" s="188"/>
      <c r="E253" s="188"/>
      <c r="F253" s="188"/>
      <c r="G253" s="188"/>
      <c r="H253" s="188"/>
      <c r="I253" s="188"/>
    </row>
    <row r="254" spans="1:9" ht="20.100000000000001" customHeight="1">
      <c r="A254" s="186"/>
      <c r="B254" s="186"/>
      <c r="C254" s="188"/>
      <c r="D254" s="188"/>
      <c r="E254" s="188"/>
      <c r="F254" s="188"/>
      <c r="G254" s="188"/>
      <c r="H254" s="188"/>
      <c r="I254" s="188"/>
    </row>
    <row r="255" spans="1:9" ht="20.100000000000001" customHeight="1">
      <c r="A255" s="186"/>
      <c r="B255" s="186"/>
      <c r="C255" s="188"/>
      <c r="D255" s="188"/>
      <c r="E255" s="188"/>
      <c r="F255" s="188"/>
      <c r="G255" s="188"/>
      <c r="H255" s="188"/>
      <c r="I255" s="188"/>
    </row>
    <row r="256" spans="1:9" ht="20.100000000000001" customHeight="1">
      <c r="A256" s="186"/>
      <c r="B256" s="186"/>
      <c r="C256" s="188"/>
      <c r="D256" s="188"/>
      <c r="E256" s="188"/>
      <c r="F256" s="188"/>
      <c r="G256" s="188"/>
      <c r="H256" s="188"/>
      <c r="I256" s="188"/>
    </row>
    <row r="257" spans="1:9" ht="20.100000000000001" customHeight="1">
      <c r="A257" s="186"/>
      <c r="B257" s="186"/>
      <c r="C257" s="188"/>
      <c r="D257" s="188"/>
      <c r="E257" s="188"/>
      <c r="F257" s="188"/>
      <c r="G257" s="188"/>
      <c r="H257" s="188"/>
      <c r="I257" s="188"/>
    </row>
    <row r="258" spans="1:9" ht="20.100000000000001" customHeight="1">
      <c r="A258" s="186"/>
      <c r="B258" s="186"/>
      <c r="C258" s="188"/>
      <c r="D258" s="188"/>
      <c r="E258" s="188"/>
      <c r="F258" s="188"/>
      <c r="G258" s="188"/>
      <c r="H258" s="188"/>
      <c r="I258" s="188"/>
    </row>
    <row r="259" spans="1:9" ht="20.100000000000001" customHeight="1">
      <c r="A259" s="186"/>
      <c r="B259" s="186"/>
      <c r="C259" s="188"/>
      <c r="D259" s="188"/>
      <c r="E259" s="188"/>
      <c r="F259" s="188"/>
      <c r="G259" s="188"/>
      <c r="H259" s="188"/>
      <c r="I259" s="188"/>
    </row>
    <row r="260" spans="1:9" ht="20.100000000000001" customHeight="1">
      <c r="A260" s="186"/>
      <c r="B260" s="186"/>
      <c r="C260" s="186"/>
      <c r="D260" s="186"/>
      <c r="E260" s="186"/>
      <c r="F260" s="186"/>
      <c r="G260" s="186"/>
      <c r="H260" s="186"/>
      <c r="I260" s="186"/>
    </row>
    <row r="261" spans="1:9" ht="20.100000000000001" customHeight="1">
      <c r="A261" s="186"/>
      <c r="B261" s="186"/>
      <c r="C261" s="186"/>
      <c r="D261" s="186"/>
      <c r="E261" s="186"/>
      <c r="F261" s="186"/>
      <c r="G261" s="186"/>
      <c r="H261" s="186"/>
      <c r="I261" s="186"/>
    </row>
    <row r="262" spans="1:9" ht="20.100000000000001" customHeight="1">
      <c r="A262" s="186"/>
      <c r="B262" s="186"/>
      <c r="C262" s="186"/>
      <c r="D262" s="186"/>
      <c r="E262" s="186"/>
      <c r="F262" s="186"/>
      <c r="G262" s="186"/>
      <c r="H262" s="186"/>
      <c r="I262" s="186"/>
    </row>
    <row r="263" spans="1:9" ht="20.100000000000001" customHeight="1">
      <c r="A263" s="186"/>
      <c r="B263" s="186"/>
      <c r="C263" s="186"/>
      <c r="D263" s="186"/>
      <c r="E263" s="186"/>
      <c r="F263" s="186"/>
      <c r="G263" s="186"/>
      <c r="H263" s="186"/>
      <c r="I263" s="186"/>
    </row>
    <row r="264" spans="1:9" ht="20.100000000000001" customHeight="1">
      <c r="A264" s="186"/>
      <c r="B264" s="186"/>
      <c r="C264" s="186"/>
      <c r="D264" s="186"/>
      <c r="E264" s="186"/>
      <c r="F264" s="186"/>
      <c r="G264" s="186"/>
      <c r="H264" s="186"/>
      <c r="I264" s="186"/>
    </row>
    <row r="265" spans="1:9" ht="20.100000000000001" customHeight="1">
      <c r="A265" s="186"/>
      <c r="B265" s="186"/>
      <c r="C265" s="186"/>
      <c r="D265" s="186"/>
      <c r="E265" s="186"/>
      <c r="F265" s="186"/>
      <c r="G265" s="186"/>
      <c r="H265" s="186"/>
      <c r="I265" s="186"/>
    </row>
    <row r="266" spans="1:9" ht="20.100000000000001" customHeight="1">
      <c r="A266" s="186"/>
      <c r="B266" s="186"/>
      <c r="C266" s="186"/>
      <c r="D266" s="186"/>
      <c r="E266" s="186"/>
      <c r="F266" s="186"/>
      <c r="G266" s="186"/>
      <c r="H266" s="186"/>
      <c r="I266" s="186"/>
    </row>
    <row r="267" spans="1:9" ht="20.100000000000001" customHeight="1">
      <c r="A267" s="186"/>
      <c r="B267" s="186"/>
      <c r="C267" s="186"/>
      <c r="D267" s="186"/>
      <c r="E267" s="186"/>
      <c r="F267" s="186"/>
      <c r="G267" s="186"/>
      <c r="H267" s="186"/>
      <c r="I267" s="186"/>
    </row>
    <row r="268" spans="1:9" ht="20.100000000000001" customHeight="1">
      <c r="A268" s="186"/>
      <c r="B268" s="186"/>
      <c r="C268" s="186"/>
      <c r="D268" s="186"/>
      <c r="E268" s="186"/>
      <c r="F268" s="186"/>
      <c r="G268" s="186"/>
      <c r="H268" s="186"/>
      <c r="I268" s="186"/>
    </row>
    <row r="269" spans="1:9" ht="20.100000000000001" customHeight="1">
      <c r="A269" s="186"/>
      <c r="B269" s="186"/>
      <c r="C269" s="186"/>
      <c r="D269" s="186"/>
      <c r="E269" s="186"/>
      <c r="F269" s="186"/>
      <c r="G269" s="186"/>
      <c r="H269" s="186"/>
      <c r="I269" s="186"/>
    </row>
    <row r="270" spans="1:9" ht="20.100000000000001" customHeight="1">
      <c r="A270" s="186"/>
      <c r="B270" s="186"/>
      <c r="C270" s="186"/>
      <c r="D270" s="186"/>
      <c r="E270" s="186"/>
      <c r="F270" s="186"/>
      <c r="G270" s="186"/>
      <c r="H270" s="186"/>
      <c r="I270" s="186"/>
    </row>
    <row r="271" spans="1:9" ht="20.100000000000001" customHeight="1">
      <c r="A271" s="186"/>
      <c r="B271" s="186"/>
      <c r="C271" s="186"/>
      <c r="D271" s="186"/>
      <c r="E271" s="186"/>
      <c r="F271" s="186"/>
      <c r="G271" s="186"/>
      <c r="H271" s="186"/>
      <c r="I271" s="186"/>
    </row>
    <row r="272" spans="1:9" ht="20.100000000000001" customHeight="1">
      <c r="A272" s="186"/>
      <c r="B272" s="186"/>
      <c r="C272" s="186"/>
      <c r="D272" s="186"/>
      <c r="E272" s="186"/>
      <c r="F272" s="186"/>
      <c r="G272" s="186"/>
      <c r="H272" s="186"/>
      <c r="I272" s="186"/>
    </row>
    <row r="273" spans="1:9" ht="20.100000000000001" customHeight="1">
      <c r="A273" s="186"/>
      <c r="B273" s="186"/>
      <c r="C273" s="186"/>
      <c r="D273" s="186"/>
      <c r="E273" s="186"/>
      <c r="F273" s="186"/>
      <c r="G273" s="186"/>
      <c r="H273" s="186"/>
      <c r="I273" s="186"/>
    </row>
    <row r="274" spans="1:9" ht="20.100000000000001" customHeight="1">
      <c r="A274" s="186"/>
      <c r="B274" s="186"/>
      <c r="C274" s="186"/>
      <c r="D274" s="186"/>
      <c r="E274" s="186"/>
      <c r="F274" s="186"/>
      <c r="G274" s="186"/>
      <c r="H274" s="186"/>
      <c r="I274" s="186"/>
    </row>
    <row r="275" spans="1:9" ht="20.100000000000001" customHeight="1"/>
    <row r="276" spans="1:9" ht="20.100000000000001" customHeight="1"/>
    <row r="277" spans="1:9" ht="20.100000000000001" customHeight="1"/>
    <row r="278" spans="1:9" ht="20.100000000000001" customHeight="1"/>
    <row r="279" spans="1:9" ht="20.100000000000001" customHeight="1"/>
    <row r="280" spans="1:9" ht="20.100000000000001" customHeight="1"/>
    <row r="281" spans="1:9" ht="20.100000000000001" customHeight="1"/>
    <row r="282" spans="1:9" ht="20.100000000000001" customHeight="1"/>
    <row r="283" spans="1:9" ht="20.100000000000001" customHeight="1"/>
    <row r="284" spans="1:9" ht="20.100000000000001" customHeight="1"/>
    <row r="285" spans="1:9" ht="20.100000000000001" customHeight="1"/>
    <row r="286" spans="1:9" ht="20.100000000000001" customHeight="1"/>
    <row r="287" spans="1:9" ht="20.100000000000001" customHeight="1"/>
    <row r="288" spans="1:9"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sheetData>
  <sheetProtection sheet="1" objects="1" scenarios="1"/>
  <mergeCells count="2">
    <mergeCell ref="B2:C2"/>
    <mergeCell ref="V47:W47"/>
  </mergeCells>
  <phoneticPr fontId="2" type="noConversion"/>
  <conditionalFormatting sqref="C201:I201 C130:I130 C133:I135 C167:I168">
    <cfRule type="cellIs" dxfId="70" priority="1" stopIfTrue="1" operator="equal">
      <formula>0</formula>
    </cfRule>
  </conditionalFormatting>
  <dataValidations count="11">
    <dataValidation allowBlank="1" showInputMessage="1" showErrorMessage="1" promptTitle="bitte beachten:" prompt="hier die Zahl der Personen eintragen, die im gemeinsamen Haushalt leben, aber nicht zur Bedarfsgemeinschaft rechnen, z.B. Großeltern, Onkel" sqref="B5"/>
    <dataValidation type="list" allowBlank="1" showInputMessage="1" showErrorMessage="1" sqref="C35:D35">
      <formula1>"ja,nur Mehrbedarf,nein"</formula1>
    </dataValidation>
    <dataValidation allowBlank="1" showInputMessage="1" showErrorMessage="1" prompt="bitte die Kosten für&#10;die Haushalts-&#10;gemeinschaft&#10;eintragen" sqref="B102"/>
    <dataValidation type="decimal" operator="greaterThan" allowBlank="1" showInputMessage="1" showErrorMessage="1" error="hier wird nicht die Pauschale von 15,33 € eingetragen sondern tatsächlich anfallende Werbungskosten, die diesen Betrag übersteigen" sqref="C149:I149">
      <formula1>15.33</formula1>
    </dataValidation>
    <dataValidation type="list" allowBlank="1" showInputMessage="1" showErrorMessage="1" sqref="B96:B97 C34:H34 E35:I35 C35">
      <formula1>"ja,nein"</formula1>
    </dataValidation>
    <dataValidation type="decimal" errorStyle="information" operator="lessThan" allowBlank="1" showInputMessage="1" showErrorMessage="1" errorTitle="Anspruch" error="anspruchsberechtigt?" sqref="C178:F178">
      <formula1>0.01</formula1>
    </dataValidation>
    <dataValidation type="decimal" errorStyle="information" operator="lessThan" allowBlank="1" showInputMessage="1" showErrorMessage="1" errorTitle="Anspruch" error="anspruchsberechtigt &quot;nein&quot; eingegeben?" sqref="C195:D195">
      <formula1>0.01</formula1>
    </dataValidation>
    <dataValidation type="date" operator="greaterThanOrEqual" allowBlank="1" showInputMessage="1" showErrorMessage="1" error="bitte Datum ab 01.01.2013 eingeben" prompt="bitte immer&#10;Monatsersten&#10;eingeben,&#10;z.B. 01.01.2013" sqref="E2">
      <formula1>41275</formula1>
    </dataValidation>
    <dataValidation type="list" allowBlank="1" showInputMessage="1" showErrorMessage="1" sqref="C46 C91:I91 B95 C99:I99 C174:D174">
      <formula1>"ja"</formula1>
    </dataValidation>
    <dataValidation type="list" allowBlank="1" showInputMessage="1" showErrorMessage="1" sqref="E207:I207">
      <formula1>"1,2,3,4,5,6,7,8,9"</formula1>
    </dataValidation>
    <dataValidation type="list" allowBlank="1" showInputMessage="1" showErrorMessage="1" sqref="A178">
      <formula1>"Leistungen der Ausbildungsförderung (bitte auswählen), BAföG, Berufsausbildungsbeihilfe, Ausbildungsgeld, Unterhaltsbeitrag nach AFBG"</formula1>
    </dataValidation>
  </dataValidations>
  <pageMargins left="0.78740157499999996" right="0.78740157499999996" top="0.984251969" bottom="0.984251969" header="0.4921259845" footer="0.4921259845"/>
  <pageSetup paperSize="9" orientation="portrait" horizontalDpi="4294967293" verticalDpi="4294967293" r:id="rId1"/>
  <headerFooter alignWithMargins="0"/>
  <legacyDrawing r:id="rId2"/>
</worksheet>
</file>

<file path=xl/worksheets/sheet13.xml><?xml version="1.0" encoding="utf-8"?>
<worksheet xmlns="http://schemas.openxmlformats.org/spreadsheetml/2006/main" xmlns:r="http://schemas.openxmlformats.org/officeDocument/2006/relationships">
  <dimension ref="A1:L254"/>
  <sheetViews>
    <sheetView showGridLines="0" showRowColHeaders="0" showZeros="0" zoomScale="124" zoomScaleNormal="124" workbookViewId="0">
      <selection activeCell="I2" sqref="I2"/>
    </sheetView>
  </sheetViews>
  <sheetFormatPr baseColWidth="10" defaultColWidth="11.42578125" defaultRowHeight="16.5"/>
  <cols>
    <col min="1" max="1" width="33" style="205" customWidth="1"/>
    <col min="2" max="2" width="16.7109375" style="205" customWidth="1"/>
    <col min="3" max="3" width="12.85546875" style="205" customWidth="1"/>
    <col min="4" max="6" width="13" style="205" customWidth="1"/>
    <col min="7" max="7" width="12.5703125" style="205" customWidth="1"/>
    <col min="8" max="8" width="12.7109375" style="205" customWidth="1"/>
    <col min="9" max="9" width="13.42578125" style="205" customWidth="1"/>
    <col min="10" max="16384" width="11.42578125" style="205"/>
  </cols>
  <sheetData>
    <row r="1" spans="1:11" ht="7.5" customHeight="1" thickBot="1"/>
    <row r="2" spans="1:11" s="217" customFormat="1" ht="36" customHeight="1">
      <c r="A2" s="578" t="s">
        <v>156</v>
      </c>
      <c r="B2" s="563"/>
      <c r="C2" s="235"/>
      <c r="D2" s="222"/>
      <c r="E2" s="236"/>
      <c r="F2" s="236"/>
      <c r="G2" s="236"/>
      <c r="H2" s="236"/>
      <c r="I2" s="237"/>
      <c r="J2" s="330"/>
      <c r="K2" s="330"/>
    </row>
    <row r="3" spans="1:11" s="217" customFormat="1" ht="19.5" thickBot="1">
      <c r="A3" s="238" t="s">
        <v>4</v>
      </c>
      <c r="B3" s="2107">
        <f>EingabenÄnderungen!B2</f>
        <v>0</v>
      </c>
      <c r="C3" s="2108"/>
      <c r="D3" s="239" t="s">
        <v>33</v>
      </c>
      <c r="E3" s="338">
        <f>EingabenÄnderungen!E2</f>
        <v>43344</v>
      </c>
      <c r="F3" s="263" t="s">
        <v>103</v>
      </c>
      <c r="G3" s="339">
        <f>EingabenÄnderungen!F2</f>
        <v>43373</v>
      </c>
      <c r="H3" s="240"/>
      <c r="I3" s="241"/>
      <c r="J3" s="330"/>
      <c r="K3" s="330"/>
    </row>
    <row r="4" spans="1:11" s="217" customFormat="1" ht="9.75" customHeight="1" thickBot="1">
      <c r="A4" s="205"/>
      <c r="B4" s="205"/>
      <c r="C4" s="205"/>
      <c r="D4" s="205"/>
      <c r="E4" s="205"/>
      <c r="F4" s="205"/>
      <c r="G4" s="205"/>
      <c r="H4" s="205"/>
      <c r="I4" s="205"/>
      <c r="J4" s="330"/>
      <c r="K4" s="330"/>
    </row>
    <row r="5" spans="1:11" s="217" customFormat="1" ht="23.25">
      <c r="A5" s="221"/>
      <c r="B5" s="345" t="s">
        <v>128</v>
      </c>
      <c r="C5" s="222"/>
      <c r="D5" s="222"/>
      <c r="E5" s="222"/>
      <c r="F5" s="222"/>
      <c r="G5" s="222"/>
      <c r="H5" s="222"/>
      <c r="I5" s="223"/>
    </row>
    <row r="6" spans="1:11" s="217" customFormat="1" ht="20.25" customHeight="1">
      <c r="A6" s="224"/>
      <c r="B6" s="341" t="s">
        <v>1</v>
      </c>
      <c r="C6" s="558" t="str">
        <f>EingabenÄnderungen!C4</f>
        <v>Antragsteller</v>
      </c>
      <c r="D6" s="558" t="str">
        <f>EingabenÄnderungen!D4</f>
        <v>Partner(in)</v>
      </c>
      <c r="E6" s="558" t="str">
        <f>EingabenÄnderungen!E4</f>
        <v>Kind 1</v>
      </c>
      <c r="F6" s="341" t="s">
        <v>8</v>
      </c>
      <c r="G6" s="341" t="s">
        <v>9</v>
      </c>
      <c r="H6" s="341" t="s">
        <v>10</v>
      </c>
      <c r="I6" s="342" t="s">
        <v>34</v>
      </c>
    </row>
    <row r="7" spans="1:11" s="217" customFormat="1">
      <c r="A7" s="224" t="s">
        <v>35</v>
      </c>
      <c r="B7" s="300">
        <f>EingabenÄnderungen!B6</f>
        <v>1</v>
      </c>
      <c r="C7" s="301">
        <f>EingabenÄnderungen!C6</f>
        <v>0</v>
      </c>
      <c r="D7" s="301">
        <f>EingabenÄnderungen!D6</f>
        <v>0</v>
      </c>
      <c r="E7" s="301">
        <f>EingabenÄnderungen!E6</f>
        <v>0</v>
      </c>
      <c r="F7" s="301">
        <f>EingabenÄnderungen!F6</f>
        <v>0</v>
      </c>
      <c r="G7" s="301">
        <f>EingabenÄnderungen!G6</f>
        <v>0</v>
      </c>
      <c r="H7" s="301">
        <f>EingabenÄnderungen!H6</f>
        <v>0</v>
      </c>
      <c r="I7" s="302">
        <f>EingabenÄnderungen!I6</f>
        <v>0</v>
      </c>
    </row>
    <row r="8" spans="1:11" s="217" customFormat="1" ht="16.5" hidden="1" customHeight="1">
      <c r="A8" s="224" t="s">
        <v>32</v>
      </c>
      <c r="B8" s="303"/>
      <c r="C8" s="304" t="str">
        <f>EingabenÄnderungen!E7</f>
        <v>ja</v>
      </c>
      <c r="D8" s="304" t="str">
        <f>EingabenÄnderungen!F7</f>
        <v>ja</v>
      </c>
      <c r="E8" s="304"/>
      <c r="F8" s="304"/>
      <c r="G8" s="304"/>
      <c r="H8" s="304"/>
      <c r="I8" s="305"/>
    </row>
    <row r="9" spans="1:11" s="217" customFormat="1">
      <c r="A9" s="224" t="s">
        <v>3</v>
      </c>
      <c r="B9" s="306"/>
      <c r="C9" s="307">
        <f>EingabenÄnderungen!C22</f>
        <v>0</v>
      </c>
      <c r="D9" s="307">
        <f>EingabenÄnderungen!D22</f>
        <v>0</v>
      </c>
      <c r="E9" s="307">
        <f>IF(EingabenÄnderungen!E16=0,EingabenÄnderungen!E16,EingabenÄnderungen!E22)</f>
        <v>0</v>
      </c>
      <c r="F9" s="307">
        <f>IF(EingabenÄnderungen!F16=0,EingabenÄnderungen!F16,EingabenÄnderungen!F22)</f>
        <v>0</v>
      </c>
      <c r="G9" s="307">
        <f>IF(EingabenÄnderungen!G16=0,EingabenÄnderungen!G16,EingabenÄnderungen!G22)</f>
        <v>0</v>
      </c>
      <c r="H9" s="307">
        <f>IF(EingabenÄnderungen!H16=0,EingabenÄnderungen!H16,EingabenÄnderungen!H22)</f>
        <v>0</v>
      </c>
      <c r="I9" s="310">
        <f>IF(EingabenÄnderungen!I16=0,EingabenÄnderungen!I16,EingabenÄnderungen!I22)</f>
        <v>0</v>
      </c>
    </row>
    <row r="10" spans="1:11" s="217" customFormat="1" ht="17.25" thickBot="1">
      <c r="A10" s="225" t="s">
        <v>39</v>
      </c>
      <c r="B10" s="308"/>
      <c r="C10" s="347" t="str">
        <f>EingabenÄnderungen!C35</f>
        <v>ja</v>
      </c>
      <c r="D10" s="347">
        <f>IF(EingabenÄnderungen!D33&gt;0,EingabenÄnderungen!D35,0)</f>
        <v>0</v>
      </c>
      <c r="E10" s="347">
        <f>IF(EingabenÄnderungen!E33&gt;0,EingabenÄnderungen!E35,0)</f>
        <v>0</v>
      </c>
      <c r="F10" s="347">
        <f>IF(EingabenÄnderungen!F33&gt;0,EingabenÄnderungen!F35,0)</f>
        <v>0</v>
      </c>
      <c r="G10" s="347">
        <f>IF(EingabenÄnderungen!G33&gt;0,EingabenÄnderungen!G35,0)</f>
        <v>0</v>
      </c>
      <c r="H10" s="347">
        <f>IF(EingabenÄnderungen!H33&gt;0,EingabenÄnderungen!H35,0)</f>
        <v>0</v>
      </c>
      <c r="I10" s="348">
        <f>IF(EingabenÄnderungen!I33&gt;0,EingabenÄnderungen!I35,0)</f>
        <v>0</v>
      </c>
    </row>
    <row r="11" spans="1:11" s="217" customFormat="1">
      <c r="A11" s="360" t="s">
        <v>52</v>
      </c>
      <c r="B11" s="292">
        <f>SUM(C11:I11)</f>
        <v>409</v>
      </c>
      <c r="C11" s="293">
        <f>EingabenÄnderungen!C33</f>
        <v>409</v>
      </c>
      <c r="D11" s="293">
        <f>EingabenÄnderungen!D33</f>
        <v>0</v>
      </c>
      <c r="E11" s="293">
        <f>EingabenÄnderungen!E33</f>
        <v>0</v>
      </c>
      <c r="F11" s="293">
        <f>EingabenÄnderungen!F33</f>
        <v>0</v>
      </c>
      <c r="G11" s="293">
        <f>EingabenÄnderungen!G33</f>
        <v>0</v>
      </c>
      <c r="H11" s="293">
        <f>EingabenÄnderungen!H33</f>
        <v>0</v>
      </c>
      <c r="I11" s="294">
        <f>EingabenÄnderungen!I33</f>
        <v>0</v>
      </c>
    </row>
    <row r="12" spans="1:11" s="217" customFormat="1">
      <c r="A12" s="226" t="s">
        <v>19</v>
      </c>
      <c r="B12" s="62"/>
      <c r="C12" s="295"/>
      <c r="D12" s="295"/>
      <c r="E12" s="295"/>
      <c r="F12" s="295"/>
      <c r="G12" s="295"/>
      <c r="H12" s="295"/>
      <c r="I12" s="296"/>
    </row>
    <row r="13" spans="1:11" s="217" customFormat="1">
      <c r="A13" s="408">
        <f>IF(B13&gt;0,"Schwangerschaft",0)</f>
        <v>0</v>
      </c>
      <c r="B13" s="284">
        <f t="shared" ref="B13:B19" si="0">SUM(C13:I13)</f>
        <v>0</v>
      </c>
      <c r="C13" s="62">
        <f>IF(OR(EingabenÄnderungen!C37="",C10="nur Mehrbedarf"),0,EingabenÄnderungen!C45)</f>
        <v>0</v>
      </c>
      <c r="D13" s="62">
        <f>IF(OR(EingabenÄnderungen!D37="",D10="nur Mehrbedarf"),0,EingabenÄnderungen!D45)</f>
        <v>0</v>
      </c>
      <c r="E13" s="62">
        <f>IF(EingabenÄnderungen!E37="",0,EingabenÄnderungen!E45)</f>
        <v>0</v>
      </c>
      <c r="F13" s="62"/>
      <c r="G13" s="62"/>
      <c r="H13" s="62"/>
      <c r="I13" s="110"/>
    </row>
    <row r="14" spans="1:11" s="217" customFormat="1">
      <c r="A14" s="408">
        <f>IF(B14&gt;0,"Alleinerziehende",0)</f>
        <v>0</v>
      </c>
      <c r="B14" s="284">
        <f>C14</f>
        <v>0</v>
      </c>
      <c r="C14" s="62">
        <f>IF(C10="nur Mehrbedarf",0,EingabenÄnderungen!B46)</f>
        <v>0</v>
      </c>
      <c r="D14" s="62"/>
      <c r="E14" s="62"/>
      <c r="F14" s="62"/>
      <c r="G14" s="62"/>
      <c r="H14" s="62"/>
      <c r="I14" s="110"/>
    </row>
    <row r="15" spans="1:11" s="217" customFormat="1">
      <c r="A15" s="408">
        <f>IF(B15&gt;0,"behinderter Mensch, Teilhabe",0)</f>
        <v>0</v>
      </c>
      <c r="B15" s="284">
        <f t="shared" si="0"/>
        <v>0</v>
      </c>
      <c r="C15" s="62">
        <f>IF(EingabenÄnderungen!C34="ja",EingabenÄnderungen!C92,0)</f>
        <v>0</v>
      </c>
      <c r="D15" s="62">
        <f>IF(EingabenÄnderungen!D34="ja",EingabenÄnderungen!D92,0)</f>
        <v>0</v>
      </c>
      <c r="E15" s="62">
        <f>IF(EingabenÄnderungen!E34="ja",EingabenÄnderungen!E92,0)</f>
        <v>0</v>
      </c>
      <c r="F15" s="62">
        <f>IF(EingabenÄnderungen!F34="ja",EingabenÄnderungen!F92,0)</f>
        <v>0</v>
      </c>
      <c r="G15" s="62">
        <f>IF(EingabenÄnderungen!G34="ja",EingabenÄnderungen!G92,0)</f>
        <v>0</v>
      </c>
      <c r="H15" s="62">
        <f>IF(EingabenÄnderungen!H34="ja",EingabenÄnderungen!H92,0)</f>
        <v>0</v>
      </c>
      <c r="I15" s="110">
        <f>IF(EingabenÄnderungen!I34="ja",EingabenÄnderungen!I92,0)</f>
        <v>0</v>
      </c>
    </row>
    <row r="16" spans="1:11" s="217" customFormat="1">
      <c r="A16" s="408">
        <f>IF(B16&gt;0,"kostenaufwändige Ernährung",0)</f>
        <v>0</v>
      </c>
      <c r="B16" s="284">
        <f t="shared" si="0"/>
        <v>0</v>
      </c>
      <c r="C16" s="62">
        <f>IF(C10="nur Mehrbedarf",0,EingabenÄnderungen!C93)</f>
        <v>0</v>
      </c>
      <c r="D16" s="62">
        <f>IF(D10="nur Mehrbedarf",0,EingabenÄnderungen!D93)</f>
        <v>0</v>
      </c>
      <c r="E16" s="62">
        <f>EingabenÄnderungen!E93</f>
        <v>0</v>
      </c>
      <c r="F16" s="62">
        <f>EingabenÄnderungen!F93</f>
        <v>0</v>
      </c>
      <c r="G16" s="62">
        <f>EingabenÄnderungen!G93</f>
        <v>0</v>
      </c>
      <c r="H16" s="62">
        <f>EingabenÄnderungen!H93</f>
        <v>0</v>
      </c>
      <c r="I16" s="110">
        <f>EingabenÄnderungen!I93</f>
        <v>0</v>
      </c>
    </row>
    <row r="17" spans="1:11" s="217" customFormat="1">
      <c r="A17" s="408">
        <f>IF(B17&gt;0,"unabweisbarer, lfd., besond. Bedarf",0)</f>
        <v>0</v>
      </c>
      <c r="B17" s="284">
        <f t="shared" si="0"/>
        <v>0</v>
      </c>
      <c r="C17" s="62">
        <f>IF(C10="nur Mehrbedarf",0,EingabenÄnderungen!C94)</f>
        <v>0</v>
      </c>
      <c r="D17" s="62">
        <f>IF(D10="nur Mehrbedarf",0,EingabenÄnderungen!D94)</f>
        <v>0</v>
      </c>
      <c r="E17" s="62">
        <f>EingabenÄnderungen!E94</f>
        <v>0</v>
      </c>
      <c r="F17" s="62">
        <f>EingabenÄnderungen!F94</f>
        <v>0</v>
      </c>
      <c r="G17" s="62">
        <f>EingabenÄnderungen!G94</f>
        <v>0</v>
      </c>
      <c r="H17" s="62">
        <f>EingabenÄnderungen!H94</f>
        <v>0</v>
      </c>
      <c r="I17" s="110">
        <f>EingabenÄnderungen!I94</f>
        <v>0</v>
      </c>
    </row>
    <row r="18" spans="1:11" s="217" customFormat="1">
      <c r="A18" s="408">
        <f>IF(B18&gt;0,"Warmwasser dezentral",0)</f>
        <v>0</v>
      </c>
      <c r="B18" s="284">
        <f t="shared" si="0"/>
        <v>0</v>
      </c>
      <c r="C18" s="62">
        <f>EingabenÄnderungen!C98</f>
        <v>0</v>
      </c>
      <c r="D18" s="62">
        <f>EingabenÄnderungen!D98</f>
        <v>0</v>
      </c>
      <c r="E18" s="62">
        <f>EingabenÄnderungen!E98</f>
        <v>0</v>
      </c>
      <c r="F18" s="62">
        <f>EingabenÄnderungen!F98</f>
        <v>0</v>
      </c>
      <c r="G18" s="62">
        <f>EingabenÄnderungen!G98</f>
        <v>0</v>
      </c>
      <c r="H18" s="62">
        <f>EingabenÄnderungen!H98</f>
        <v>0</v>
      </c>
      <c r="I18" s="110">
        <f>EingabenÄnderungen!I98</f>
        <v>0</v>
      </c>
    </row>
    <row r="19" spans="1:11" s="217" customFormat="1">
      <c r="A19" s="408">
        <f>IF(B19&gt;0,"erwerbsunfähig, Merkzeichen G",0)</f>
        <v>0</v>
      </c>
      <c r="B19" s="284">
        <f t="shared" si="0"/>
        <v>0</v>
      </c>
      <c r="C19" s="62">
        <f>IF(EingabenÄnderungen!C34="nein",EingabenÄnderungen!C100,0)</f>
        <v>0</v>
      </c>
      <c r="D19" s="62">
        <f>IF(EingabenÄnderungen!D34="nein",EingabenÄnderungen!D100,0)</f>
        <v>0</v>
      </c>
      <c r="E19" s="62">
        <f>IF(EingabenÄnderungen!E34="nein",EingabenÄnderungen!E100,0)</f>
        <v>0</v>
      </c>
      <c r="F19" s="62">
        <f>IF(EingabenÄnderungen!F34="nein",EingabenÄnderungen!F100,0)</f>
        <v>0</v>
      </c>
      <c r="G19" s="62">
        <f>IF(EingabenÄnderungen!G34="nein",EingabenÄnderungen!G100,0)</f>
        <v>0</v>
      </c>
      <c r="H19" s="62">
        <f>IF(EingabenÄnderungen!H34="nein",EingabenÄnderungen!H100,0)</f>
        <v>0</v>
      </c>
      <c r="I19" s="110">
        <f>IF(EingabenÄnderungen!I34="nein",EingabenÄnderungen!I100,0)</f>
        <v>0</v>
      </c>
    </row>
    <row r="20" spans="1:11" s="217" customFormat="1">
      <c r="A20" s="228" t="s">
        <v>13</v>
      </c>
      <c r="B20" s="62"/>
      <c r="C20" s="309"/>
      <c r="D20" s="309"/>
      <c r="E20" s="309"/>
      <c r="F20" s="295"/>
      <c r="G20" s="295"/>
      <c r="H20" s="295"/>
      <c r="I20" s="296"/>
    </row>
    <row r="21" spans="1:11" s="217" customFormat="1" ht="16.5" hidden="1" customHeight="1">
      <c r="A21" s="243"/>
      <c r="B21" s="62">
        <f>EingabenÄnderungen!C102</f>
        <v>0</v>
      </c>
      <c r="C21" s="62">
        <f>B21/B7</f>
        <v>0</v>
      </c>
      <c r="D21" s="62">
        <f>IF(D9=0,0,B21/B7)</f>
        <v>0</v>
      </c>
      <c r="E21" s="62">
        <f>IF(EingabenÄnderungen!E33=0,0,B21/B7)</f>
        <v>0</v>
      </c>
      <c r="F21" s="62">
        <f>IF(EingabenÄnderungen!F33=0,0,B21/B7)</f>
        <v>0</v>
      </c>
      <c r="G21" s="62">
        <f>IF(EingabenÄnderungen!G33=0,0,B21/B7)</f>
        <v>0</v>
      </c>
      <c r="H21" s="62">
        <f>IF(EingabenÄnderungen!H33=0,0,B21/B7)</f>
        <v>0</v>
      </c>
      <c r="I21" s="110">
        <f>IF(EingabenÄnderungen!I33=0,0,B21/B7)</f>
        <v>0</v>
      </c>
    </row>
    <row r="22" spans="1:11" s="217" customFormat="1" ht="16.5" hidden="1" customHeight="1">
      <c r="A22" s="229"/>
      <c r="B22" s="62">
        <f>SUM(C22:I22)</f>
        <v>0</v>
      </c>
      <c r="C22" s="62">
        <f>C21</f>
        <v>0</v>
      </c>
      <c r="D22" s="62">
        <f>D21</f>
        <v>0</v>
      </c>
      <c r="E22" s="62">
        <f>IF(EingabenÄnderungen!E8&gt;EingabenÄnderungen!E2,E21*EingabenÄnderungen!E14/30,IF(EingabenÄnderungen!E18=25,E21*EingabenÄnderungen!E10/30,E21))</f>
        <v>0</v>
      </c>
      <c r="F22" s="62">
        <f>IF(EingabenÄnderungen!F8&gt;EingabenÄnderungen!E2,F21*EingabenÄnderungen!F14/30,IF(EingabenÄnderungen!F18=25,F21*EingabenÄnderungen!F10/30,F21))</f>
        <v>0</v>
      </c>
      <c r="G22" s="62">
        <f>IF(EingabenÄnderungen!G8&gt;EingabenÄnderungen!E2,G21*EingabenÄnderungen!G14/30,IF(EingabenÄnderungen!G18=25,G21*EingabenÄnderungen!G10/30,G21))</f>
        <v>0</v>
      </c>
      <c r="H22" s="62">
        <f>IF(EingabenÄnderungen!H8&gt;EingabenÄnderungen!E2,H21*EingabenÄnderungen!H14/30,IF(EingabenÄnderungen!H18=25,H21*EingabenÄnderungen!H10/30,H21))</f>
        <v>0</v>
      </c>
      <c r="I22" s="110">
        <f>IF(EingabenÄnderungen!I8&gt;EingabenÄnderungen!E2,I21*EingabenÄnderungen!I14/30,IF(EingabenÄnderungen!I18=25,I21*EingabenÄnderungen!I10/30,I21))</f>
        <v>0</v>
      </c>
      <c r="K22" s="359">
        <f>COUNTIF(C22:I22,C22)</f>
        <v>7</v>
      </c>
    </row>
    <row r="23" spans="1:11" s="217" customFormat="1" ht="16.5" hidden="1" customHeight="1">
      <c r="A23" s="243"/>
      <c r="B23" s="62">
        <f>SUM(C23:I23)</f>
        <v>0</v>
      </c>
      <c r="C23" s="62">
        <f>IF(AND(B22&lt;B21,C22=C21,C22&gt;0),C21+(B21-B22)/K22,C22)</f>
        <v>0</v>
      </c>
      <c r="D23" s="62">
        <f>IF(AND(B22&lt;B21,D22=D21,D22&gt;0),D21+(B21-B22)/K22,D22)</f>
        <v>0</v>
      </c>
      <c r="E23" s="62">
        <f>IF(AND(B22&lt;B21,E22=E21,E22&gt;0),E21+(B21-B22)/K22,E22)</f>
        <v>0</v>
      </c>
      <c r="F23" s="62">
        <f>IF(AND(B22&lt;B21,F22=F21,F22&gt;0),F21+(B21-B22)/K22,F22)</f>
        <v>0</v>
      </c>
      <c r="G23" s="62">
        <f>IF(AND(B22&lt;B21,G22=G21,G22&gt;0),G21+(B21-B22)/K22,G22)</f>
        <v>0</v>
      </c>
      <c r="H23" s="62">
        <f>IF(AND(B22&lt;B21,H22=H21,H22&gt;0),H21+(B21-B22)/K22,H22)</f>
        <v>0</v>
      </c>
      <c r="I23" s="110">
        <f>IF(AND(B22&lt;B21,I22=I21,I22&gt;0),I21+(B21-B22)/K22,I22)</f>
        <v>0</v>
      </c>
      <c r="K23" s="205"/>
    </row>
    <row r="24" spans="1:11" s="217" customFormat="1">
      <c r="A24" s="409">
        <f>IF(B24&gt;0,EingabenÄnderungen!A102,0)</f>
        <v>0</v>
      </c>
      <c r="B24" s="284">
        <f>SUM(C24:I24)</f>
        <v>0</v>
      </c>
      <c r="C24" s="62">
        <f>IF(EingabenÄnderungen!$K$18&gt;0,C22,C23)</f>
        <v>0</v>
      </c>
      <c r="D24" s="62">
        <f>IF(EingabenÄnderungen!$K$18&gt;0,D22,D23)</f>
        <v>0</v>
      </c>
      <c r="E24" s="62">
        <f>IF(EingabenÄnderungen!$K$18&gt;0,E22,E23)</f>
        <v>0</v>
      </c>
      <c r="F24" s="62">
        <f>IF(EingabenÄnderungen!$K$18&gt;0,F22,F23)</f>
        <v>0</v>
      </c>
      <c r="G24" s="62">
        <f>IF(EingabenÄnderungen!$K$18&gt;0,G22,G23)</f>
        <v>0</v>
      </c>
      <c r="H24" s="62">
        <f>IF(EingabenÄnderungen!$K$18&gt;0,H22,H23)</f>
        <v>0</v>
      </c>
      <c r="I24" s="110">
        <f>IF(EingabenÄnderungen!$K$18&gt;0,I22,I23)</f>
        <v>0</v>
      </c>
      <c r="K24" s="205"/>
    </row>
    <row r="25" spans="1:11" s="217" customFormat="1" ht="16.5" hidden="1" customHeight="1">
      <c r="A25" s="556" t="str">
        <f>EingabenÄnderungen!A103</f>
        <v>weitere Kosten</v>
      </c>
      <c r="B25" s="62">
        <f>EingabenÄnderungen!C103</f>
        <v>0</v>
      </c>
      <c r="C25" s="62">
        <f>B25/B7</f>
        <v>0</v>
      </c>
      <c r="D25" s="62">
        <f>IF(D9="",0,B25/B7)</f>
        <v>0</v>
      </c>
      <c r="E25" s="62">
        <f>IF(E9="",0,B25/B7)</f>
        <v>0</v>
      </c>
      <c r="F25" s="62">
        <f>IF(F9="",0,B25/B7)</f>
        <v>0</v>
      </c>
      <c r="G25" s="62">
        <f>IF(G9="",0,B25/B7)</f>
        <v>0</v>
      </c>
      <c r="H25" s="62">
        <f>IF(H9="",0,B25/B7)</f>
        <v>0</v>
      </c>
      <c r="I25" s="110">
        <f>IF(I9="",0,B25/B7)</f>
        <v>0</v>
      </c>
      <c r="K25" s="205"/>
    </row>
    <row r="26" spans="1:11" s="217" customFormat="1" ht="16.5" hidden="1" customHeight="1">
      <c r="A26" s="411"/>
      <c r="B26" s="62">
        <f>EingabenÄnderungen!C104</f>
        <v>0</v>
      </c>
      <c r="C26" s="62">
        <f>B26/B7</f>
        <v>0</v>
      </c>
      <c r="D26" s="62">
        <f>IF(D9=0,0,B26/B7)</f>
        <v>0</v>
      </c>
      <c r="E26" s="62">
        <f>IF(EingabenÄnderungen!E33=0,0,B26/B7)</f>
        <v>0</v>
      </c>
      <c r="F26" s="62">
        <f>IF(EingabenÄnderungen!F33=0,0,B26/B7)</f>
        <v>0</v>
      </c>
      <c r="G26" s="62">
        <f>IF(EingabenÄnderungen!G33=0,0,B26/B7)</f>
        <v>0</v>
      </c>
      <c r="H26" s="62">
        <f>IF(EingabenÄnderungen!H33=0,0,B26/B7)</f>
        <v>0</v>
      </c>
      <c r="I26" s="110">
        <f>IF(EingabenÄnderungen!I33=0,0,B26/B7)</f>
        <v>0</v>
      </c>
      <c r="K26" s="205"/>
    </row>
    <row r="27" spans="1:11" s="217" customFormat="1" ht="16.5" hidden="1" customHeight="1">
      <c r="A27" s="409"/>
      <c r="B27" s="62">
        <f>SUM(C27:I27)</f>
        <v>0</v>
      </c>
      <c r="C27" s="62">
        <f>C26</f>
        <v>0</v>
      </c>
      <c r="D27" s="62">
        <f>D26</f>
        <v>0</v>
      </c>
      <c r="E27" s="62">
        <f>IF(EingabenÄnderungen!E8&gt;EingabenÄnderungen!E2,E26*EingabenÄnderungen!E14/30,IF(EingabenÄnderungen!E18=25,E26*EingabenÄnderungen!E10/30,E26))</f>
        <v>0</v>
      </c>
      <c r="F27" s="62">
        <f>IF(EingabenÄnderungen!F8&gt;EingabenÄnderungen!E2,F26*EingabenÄnderungen!F14/30,IF(EingabenÄnderungen!F18=25,F26*EingabenÄnderungen!F10/30,F26))</f>
        <v>0</v>
      </c>
      <c r="G27" s="62">
        <f>IF(EingabenÄnderungen!G8&gt;EingabenÄnderungen!E2,G26*EingabenÄnderungen!G14/30,IF(EingabenÄnderungen!G18=25,G26*EingabenÄnderungen!G10/30,G26))</f>
        <v>0</v>
      </c>
      <c r="H27" s="62">
        <f>IF(EingabenÄnderungen!H8&gt;EingabenÄnderungen!E2,H26*EingabenÄnderungen!H14/30,IF(EingabenÄnderungen!H18=25,H26*EingabenÄnderungen!H10/30,H26))</f>
        <v>0</v>
      </c>
      <c r="I27" s="110">
        <f>IF(EingabenÄnderungen!I8&gt;EingabenÄnderungen!E2,I26*EingabenÄnderungen!I14/30,IF(EingabenÄnderungen!I18=25,I26*EingabenÄnderungen!I10/30,I26))</f>
        <v>0</v>
      </c>
      <c r="K27" s="359">
        <f>COUNTIF(C27:I27,C27)</f>
        <v>7</v>
      </c>
    </row>
    <row r="28" spans="1:11" s="217" customFormat="1" ht="16.5" hidden="1" customHeight="1">
      <c r="A28" s="411"/>
      <c r="B28" s="62">
        <f>SUM(C28:I28)</f>
        <v>0</v>
      </c>
      <c r="C28" s="62">
        <f>IF(AND(B27&lt;B26,C27=C26,C27&gt;0),C26+(B26-B27)/K27,C27)</f>
        <v>0</v>
      </c>
      <c r="D28" s="62">
        <f>IF(AND(B27&lt;B26,D27=D26,D27&gt;0),D26+(B26-B27)/K27,D27)</f>
        <v>0</v>
      </c>
      <c r="E28" s="62">
        <f>IF(AND(B27&lt;B26,E27=E26,E27&gt;0),E26+(B26-B27)/K27,E27)</f>
        <v>0</v>
      </c>
      <c r="F28" s="62">
        <f>IF(AND(B27&lt;B26,F27=F26,F27&gt;0),F26+(B26-B27)/K27,F27)</f>
        <v>0</v>
      </c>
      <c r="G28" s="62">
        <f>IF(AND(B27&lt;B26,G27=G26,G27&gt;0),G26+(B26-B27)/K27,G27)</f>
        <v>0</v>
      </c>
      <c r="H28" s="62">
        <f>IF(AND(B27&lt;B26,H27=H26,H27&gt;0),H26+(B26-B27)/K27,H27)</f>
        <v>0</v>
      </c>
      <c r="I28" s="110">
        <f>IF(AND(B27&lt;B26,I27=I26,I27&gt;0),I26+(B26-B27)/K27,I27)</f>
        <v>0</v>
      </c>
      <c r="K28" s="205"/>
    </row>
    <row r="29" spans="1:11" s="217" customFormat="1">
      <c r="A29" s="409">
        <f>IF(B29&gt;0,EingabenÄnderungen!A104,0)</f>
        <v>0</v>
      </c>
      <c r="B29" s="284">
        <f>SUM(C29:I29)</f>
        <v>0</v>
      </c>
      <c r="C29" s="62">
        <f>IF(EingabenÄnderungen!$K$18&gt;0,C27,C28)</f>
        <v>0</v>
      </c>
      <c r="D29" s="62">
        <f>IF(EingabenÄnderungen!$K$18&gt;0,D27,D28)</f>
        <v>0</v>
      </c>
      <c r="E29" s="62">
        <f>IF(EingabenÄnderungen!$K$18&gt;0,E27,E28)</f>
        <v>0</v>
      </c>
      <c r="F29" s="62">
        <f>IF(EingabenÄnderungen!$K$18&gt;0,F27,F28)</f>
        <v>0</v>
      </c>
      <c r="G29" s="62">
        <f>IF(EingabenÄnderungen!$K$18&gt;0,G27,G28)</f>
        <v>0</v>
      </c>
      <c r="H29" s="62">
        <f>IF(EingabenÄnderungen!$K$18&gt;0,H27,H28)</f>
        <v>0</v>
      </c>
      <c r="I29" s="110">
        <f>IF(EingabenÄnderungen!$K$18&gt;0,I27,I28)</f>
        <v>0</v>
      </c>
      <c r="K29" s="205"/>
    </row>
    <row r="30" spans="1:11" s="217" customFormat="1" ht="16.5" hidden="1" customHeight="1">
      <c r="A30" s="411"/>
      <c r="B30" s="62">
        <f>EingabenÄnderungen!C105</f>
        <v>0</v>
      </c>
      <c r="C30" s="62">
        <f>B30/B7</f>
        <v>0</v>
      </c>
      <c r="D30" s="62">
        <f>IF(D9=0,0,B30/B7)</f>
        <v>0</v>
      </c>
      <c r="E30" s="62">
        <f>IF(EingabenÄnderungen!E33=0,0,B30/B7)</f>
        <v>0</v>
      </c>
      <c r="F30" s="62">
        <f>IF(EingabenÄnderungen!F33=0,0,B30/B7)</f>
        <v>0</v>
      </c>
      <c r="G30" s="62">
        <f>IF(EingabenÄnderungen!G33=0,0,B30/B7)</f>
        <v>0</v>
      </c>
      <c r="H30" s="62">
        <f>IF(EingabenÄnderungen!H33=0,0,B30/B7)</f>
        <v>0</v>
      </c>
      <c r="I30" s="110">
        <f>IF(EingabenÄnderungen!I33=0,0,B30/B7)</f>
        <v>0</v>
      </c>
      <c r="K30" s="205"/>
    </row>
    <row r="31" spans="1:11" s="217" customFormat="1" ht="16.5" hidden="1" customHeight="1">
      <c r="A31" s="409"/>
      <c r="B31" s="62">
        <f>SUM(C31:I31)</f>
        <v>0</v>
      </c>
      <c r="C31" s="62">
        <f>C30</f>
        <v>0</v>
      </c>
      <c r="D31" s="62">
        <f>D30</f>
        <v>0</v>
      </c>
      <c r="E31" s="62">
        <f>IF(EingabenÄnderungen!E8&gt;EingabenÄnderungen!E2,E30*EingabenÄnderungen!E14/30,IF(EingabenÄnderungen!E18=25,E30*EingabenÄnderungen!E10/30,E30))</f>
        <v>0</v>
      </c>
      <c r="F31" s="62">
        <f>IF(EingabenÄnderungen!F8&gt;EingabenÄnderungen!E2,F30*EingabenÄnderungen!F14/30,IF(EingabenÄnderungen!F18=25,F30*EingabenÄnderungen!F10/30,F30))</f>
        <v>0</v>
      </c>
      <c r="G31" s="62">
        <f>IF(EingabenÄnderungen!G8&gt;EingabenÄnderungen!E2,G30*EingabenÄnderungen!G14/30,IF(EingabenÄnderungen!G18=25,G30*EingabenÄnderungen!G10/30,G30))</f>
        <v>0</v>
      </c>
      <c r="H31" s="62">
        <f>IF(EingabenÄnderungen!H8&gt;EingabenÄnderungen!E2,H30*EingabenÄnderungen!H14/30,IF(EingabenÄnderungen!H18=25,H30*EingabenÄnderungen!H10/30,H30))</f>
        <v>0</v>
      </c>
      <c r="I31" s="110">
        <f>IF(EingabenÄnderungen!I8&gt;EingabenÄnderungen!E2,I30*EingabenÄnderungen!I14/30,IF(EingabenÄnderungen!I18=25,I30*EingabenÄnderungen!I10/30,I30))</f>
        <v>0</v>
      </c>
      <c r="K31" s="359">
        <f>COUNTIF(C31:I31,C31)</f>
        <v>7</v>
      </c>
    </row>
    <row r="32" spans="1:11" s="217" customFormat="1" ht="16.5" hidden="1" customHeight="1">
      <c r="A32" s="411"/>
      <c r="B32" s="62">
        <f>SUM(C32:I32)</f>
        <v>0</v>
      </c>
      <c r="C32" s="62">
        <f>IF(AND(B31&lt;B30,C31=C30,C31&gt;0),C30+(B30-B31)/K31,C31)</f>
        <v>0</v>
      </c>
      <c r="D32" s="62">
        <f>IF(AND(B31&lt;B30,D31=D30,D31&gt;0),D30+(B30-B31)/K31,D31)</f>
        <v>0</v>
      </c>
      <c r="E32" s="62">
        <f>IF(AND(B31&lt;B30,E31=E30,E31&gt;0),E30+(B30-B31)/K31,E31)</f>
        <v>0</v>
      </c>
      <c r="F32" s="62">
        <f>IF(AND(B31&lt;B30,F31=F30,F31&gt;0),F30+(B30-B31)/K31,F31)</f>
        <v>0</v>
      </c>
      <c r="G32" s="62">
        <f>IF(AND(B31&lt;B30,G31=G30,G31&gt;0),G30+(B30-B31)/K31,G31)</f>
        <v>0</v>
      </c>
      <c r="H32" s="62">
        <f>IF(AND(B31&lt;B30,H31=H30,H31&gt;0),H30+(B30-B31)/K31,H31)</f>
        <v>0</v>
      </c>
      <c r="I32" s="110">
        <f>IF(AND(B31&lt;B30,I31=I30,I31&gt;0),I30+(B30-B31)/K31,I31)</f>
        <v>0</v>
      </c>
      <c r="K32" s="205"/>
    </row>
    <row r="33" spans="1:11" s="217" customFormat="1">
      <c r="A33" s="409">
        <f>IF(B33&gt;0,EingabenÄnderungen!A105,0)</f>
        <v>0</v>
      </c>
      <c r="B33" s="284">
        <f>SUM(C33:I33)</f>
        <v>0</v>
      </c>
      <c r="C33" s="62">
        <f>IF(EingabenÄnderungen!$K$18&gt;0,C31,C32)</f>
        <v>0</v>
      </c>
      <c r="D33" s="62">
        <f>IF(EingabenÄnderungen!$K$18&gt;0,D31,D32)</f>
        <v>0</v>
      </c>
      <c r="E33" s="62">
        <f>IF(EingabenÄnderungen!$K$18&gt;0,E31,E32)</f>
        <v>0</v>
      </c>
      <c r="F33" s="62">
        <f>IF(EingabenÄnderungen!$K$18&gt;0,F31,F32)</f>
        <v>0</v>
      </c>
      <c r="G33" s="62">
        <f>IF(EingabenÄnderungen!$K$18&gt;0,G31,G32)</f>
        <v>0</v>
      </c>
      <c r="H33" s="62">
        <f>IF(EingabenÄnderungen!$K$18&gt;0,H31,H32)</f>
        <v>0</v>
      </c>
      <c r="I33" s="110">
        <f>IF(EingabenÄnderungen!$K$18&gt;0,I31,I32)</f>
        <v>0</v>
      </c>
      <c r="K33" s="205"/>
    </row>
    <row r="34" spans="1:11" s="217" customFormat="1" ht="16.5" hidden="1" customHeight="1">
      <c r="A34" s="411"/>
      <c r="B34" s="62">
        <f>EingabenÄnderungen!C106</f>
        <v>0</v>
      </c>
      <c r="C34" s="62">
        <f>B34/B7</f>
        <v>0</v>
      </c>
      <c r="D34" s="62">
        <f>IF(D9=0,0,B34/B7)</f>
        <v>0</v>
      </c>
      <c r="E34" s="62">
        <f>IF(EingabenÄnderungen!E33=0,0,B34/B7)</f>
        <v>0</v>
      </c>
      <c r="F34" s="62">
        <f>IF(EingabenÄnderungen!F33=0,0,B34/B7)</f>
        <v>0</v>
      </c>
      <c r="G34" s="62">
        <f>IF(EingabenÄnderungen!G33=0,0,B34/B7)</f>
        <v>0</v>
      </c>
      <c r="H34" s="62">
        <f>IF(EingabenÄnderungen!H33=0,0,B34/B7)</f>
        <v>0</v>
      </c>
      <c r="I34" s="110">
        <f>IF(EingabenÄnderungen!I33=0,0,B34/B7)</f>
        <v>0</v>
      </c>
      <c r="K34" s="205"/>
    </row>
    <row r="35" spans="1:11" s="217" customFormat="1" ht="16.5" hidden="1" customHeight="1">
      <c r="A35" s="409"/>
      <c r="B35" s="62">
        <f t="shared" ref="B35:B42" si="1">SUM(C35:I35)</f>
        <v>0</v>
      </c>
      <c r="C35" s="62">
        <f>C34</f>
        <v>0</v>
      </c>
      <c r="D35" s="62">
        <f>D34</f>
        <v>0</v>
      </c>
      <c r="E35" s="62">
        <f>IF(EingabenÄnderungen!E8&gt;EingabenÄnderungen!E2,E34*EingabenÄnderungen!E14/30,IF(EingabenÄnderungen!E18=25,E34*EingabenÄnderungen!E10/30,E34))</f>
        <v>0</v>
      </c>
      <c r="F35" s="62">
        <f>IF(EingabenÄnderungen!F8&gt;EingabenÄnderungen!E2,F34*EingabenÄnderungen!F14/30,IF(EingabenÄnderungen!F18=25,F34*EingabenÄnderungen!F10/30,F34))</f>
        <v>0</v>
      </c>
      <c r="G35" s="62">
        <f>IF(EingabenÄnderungen!G8&gt;EingabenÄnderungen!E2,G34*EingabenÄnderungen!G14/30,IF(EingabenÄnderungen!G18=25,G34*EingabenÄnderungen!G10/30,G34))</f>
        <v>0</v>
      </c>
      <c r="H35" s="62">
        <f>IF(EingabenÄnderungen!H8&gt;EingabenÄnderungen!E2,H34*EingabenÄnderungen!H14/30,IF(EingabenÄnderungen!H18=25,H34*EingabenÄnderungen!H10/30,H34))</f>
        <v>0</v>
      </c>
      <c r="I35" s="110">
        <f>IF(EingabenÄnderungen!I8&gt;EingabenÄnderungen!E2,I34*EingabenÄnderungen!I14/30,IF(EingabenÄnderungen!I18=25,I34*EingabenÄnderungen!I10/30,I34))</f>
        <v>0</v>
      </c>
      <c r="K35" s="359">
        <f>COUNTIF(C35:I35,C35)</f>
        <v>7</v>
      </c>
    </row>
    <row r="36" spans="1:11" s="217" customFormat="1" ht="16.5" hidden="1" customHeight="1">
      <c r="A36" s="411"/>
      <c r="B36" s="62">
        <f t="shared" si="1"/>
        <v>0</v>
      </c>
      <c r="C36" s="62">
        <f>IF(AND(B35&lt;B34,C35=C34,C35&gt;0),C34+(B34-B35)/K35,C35)</f>
        <v>0</v>
      </c>
      <c r="D36" s="62">
        <f>IF(AND(B35&lt;B34,D35=D34,D35&gt;0),D34+(B34-B35)/K35,D35)</f>
        <v>0</v>
      </c>
      <c r="E36" s="62">
        <f>IF(AND(B35&lt;B34,E35=E34,E35&gt;0),E34+(B34-B35)/K35,E35)</f>
        <v>0</v>
      </c>
      <c r="F36" s="62">
        <f>IF(AND(B35&lt;B34,F35=F34,F35&gt;0),F34+(B34-B35)/K35,F35)</f>
        <v>0</v>
      </c>
      <c r="G36" s="62">
        <f>IF(AND(B35&lt;B34,G35=G34,G35&gt;0),G34+(B34-B35)/K35,G35)</f>
        <v>0</v>
      </c>
      <c r="H36" s="62">
        <f>IF(AND(B35&lt;B34,H35=H34,H35&gt;0),H34+(B34-B35)/K35,H35)</f>
        <v>0</v>
      </c>
      <c r="I36" s="110">
        <f>IF(AND(B35&lt;B34,I35=I34,I35&gt;0),I34+(B34-B35)/K35,I35)</f>
        <v>0</v>
      </c>
      <c r="K36" s="205"/>
    </row>
    <row r="37" spans="1:11" s="217" customFormat="1">
      <c r="A37" s="409">
        <f>IF(B37&gt;0,EingabenÄnderungen!A106,0)</f>
        <v>0</v>
      </c>
      <c r="B37" s="284">
        <f t="shared" si="1"/>
        <v>0</v>
      </c>
      <c r="C37" s="62">
        <f>IF(EingabenÄnderungen!$K$18&gt;0,C35,C36)</f>
        <v>0</v>
      </c>
      <c r="D37" s="62">
        <f>IF(EingabenÄnderungen!$K$18&gt;0,D35,D36)</f>
        <v>0</v>
      </c>
      <c r="E37" s="62">
        <f>IF(EingabenÄnderungen!$K$18&gt;0,E35,E36)</f>
        <v>0</v>
      </c>
      <c r="F37" s="62">
        <f>IF(EingabenÄnderungen!$K$18&gt;0,F35,F36)</f>
        <v>0</v>
      </c>
      <c r="G37" s="62">
        <f>IF(EingabenÄnderungen!$K$18&gt;0,G35,G36)</f>
        <v>0</v>
      </c>
      <c r="H37" s="62">
        <f>IF(EingabenÄnderungen!$K$18&gt;0,H35,H36)</f>
        <v>0</v>
      </c>
      <c r="I37" s="110">
        <f>IF(EingabenÄnderungen!$K$18&gt;0,I35,I36)</f>
        <v>0</v>
      </c>
      <c r="K37" s="205"/>
    </row>
    <row r="38" spans="1:11" s="217" customFormat="1" ht="16.5" hidden="1" customHeight="1">
      <c r="A38" s="409"/>
      <c r="B38" s="62">
        <f t="shared" si="1"/>
        <v>0</v>
      </c>
      <c r="C38" s="62">
        <f>EingabenÄnderungen!C114</f>
        <v>0</v>
      </c>
      <c r="D38" s="62">
        <f>EingabenÄnderungen!D114</f>
        <v>0</v>
      </c>
      <c r="E38" s="62">
        <f>EingabenÄnderungen!E114</f>
        <v>0</v>
      </c>
      <c r="F38" s="62">
        <f>EingabenÄnderungen!F114</f>
        <v>0</v>
      </c>
      <c r="G38" s="62">
        <f>EingabenÄnderungen!G114</f>
        <v>0</v>
      </c>
      <c r="H38" s="62">
        <f>EingabenÄnderungen!H114</f>
        <v>0</v>
      </c>
      <c r="I38" s="110">
        <f>EingabenÄnderungen!I114</f>
        <v>0</v>
      </c>
      <c r="K38" s="205"/>
    </row>
    <row r="39" spans="1:11" s="217" customFormat="1" ht="16.5" hidden="1" customHeight="1">
      <c r="A39" s="409"/>
      <c r="B39" s="62">
        <f t="shared" si="1"/>
        <v>0</v>
      </c>
      <c r="C39" s="62">
        <f>C38</f>
        <v>0</v>
      </c>
      <c r="D39" s="62">
        <f>D38</f>
        <v>0</v>
      </c>
      <c r="E39" s="62">
        <f>IF(EingabenÄnderungen!E8&gt;EingabenÄnderungen!$E$2,E38*EingabenÄnderungen!E14/30,IF(EingabenÄnderungen!E18=25,E38*EingabenÄnderungen!E10/30,E38))</f>
        <v>0</v>
      </c>
      <c r="F39" s="62">
        <f>IF(EingabenÄnderungen!F8&gt;EingabenÄnderungen!$E$2,F38*EingabenÄnderungen!F14/30,IF(EingabenÄnderungen!F18=25,F38*EingabenÄnderungen!F10/30,F38))</f>
        <v>0</v>
      </c>
      <c r="G39" s="62">
        <f>IF(EingabenÄnderungen!G8&gt;EingabenÄnderungen!$E$2,G38*EingabenÄnderungen!G14/30,IF(EingabenÄnderungen!G18=25,G38*EingabenÄnderungen!G10/30,G38))</f>
        <v>0</v>
      </c>
      <c r="H39" s="62">
        <f>IF(EingabenÄnderungen!H8&gt;EingabenÄnderungen!$E$2,H38*EingabenÄnderungen!H14/30,IF(EingabenÄnderungen!H18=25,H38*EingabenÄnderungen!H10/30,H38))</f>
        <v>0</v>
      </c>
      <c r="I39" s="110">
        <f>IF(EingabenÄnderungen!I8&gt;EingabenÄnderungen!$E$2,I38*EingabenÄnderungen!I14/30,IF(EingabenÄnderungen!I18=25,I38*EingabenÄnderungen!I10/30,I38))</f>
        <v>0</v>
      </c>
      <c r="K39" s="359">
        <f>COUNTIF(C39:I39,C39)</f>
        <v>7</v>
      </c>
    </row>
    <row r="40" spans="1:11" s="217" customFormat="1" ht="16.5" hidden="1" customHeight="1">
      <c r="A40" s="409"/>
      <c r="B40" s="62">
        <f t="shared" si="1"/>
        <v>0</v>
      </c>
      <c r="C40" s="62">
        <f>IF(AND(B39&lt;B38,C39=C38,C39&gt;0),C38+(B38-B39)/K39,C39)</f>
        <v>0</v>
      </c>
      <c r="D40" s="62">
        <f>IF(AND(B39&lt;B38,D39=D38,D39&gt;0),D38+(B38-B39)/K39,D39)</f>
        <v>0</v>
      </c>
      <c r="E40" s="62">
        <f>IF(AND(B39&lt;B38,E39=E38,E39&gt;0),E38+(B38-B39)/K39,E39)</f>
        <v>0</v>
      </c>
      <c r="F40" s="62">
        <f>IF(AND(B39&lt;B38,F39=F38,F39&gt;0),F38+(B38-B39)/K39,F39)</f>
        <v>0</v>
      </c>
      <c r="G40" s="62">
        <f>IF(AND(B39&lt;B38,G39=G38,G39&gt;0),G38+(B38-B39)/K39,G39)</f>
        <v>0</v>
      </c>
      <c r="H40" s="62">
        <f>IF(AND(B39&lt;B38,H39=H38,H39&gt;0),H38+(B38-B39)/K39,H39)</f>
        <v>0</v>
      </c>
      <c r="I40" s="110">
        <f>IF(AND(B39&lt;B38,I39=I38,I39&gt;0),I38+(B38-B39)/K39,I39)</f>
        <v>0</v>
      </c>
      <c r="K40" s="205"/>
    </row>
    <row r="41" spans="1:11" s="217" customFormat="1" ht="16.5" hidden="1" customHeight="1">
      <c r="A41" s="411"/>
      <c r="B41" s="62">
        <f t="shared" si="1"/>
        <v>0</v>
      </c>
      <c r="C41" s="62">
        <f>IF(EingabenÄnderungen!$B$107&gt;0,C40,EingabenÄnderungen!C114)</f>
        <v>0</v>
      </c>
      <c r="D41" s="62">
        <f>IF(EingabenÄnderungen!$B$107&gt;0,D40,EingabenÄnderungen!D114)</f>
        <v>0</v>
      </c>
      <c r="E41" s="62">
        <f>IF(EingabenÄnderungen!$B$107&gt;0,E40,EingabenÄnderungen!E114)</f>
        <v>0</v>
      </c>
      <c r="F41" s="62">
        <f>IF(EingabenÄnderungen!$B$107&gt;0,F40,EingabenÄnderungen!F114)</f>
        <v>0</v>
      </c>
      <c r="G41" s="62">
        <f>IF(EingabenÄnderungen!$B$107&gt;0,G40,EingabenÄnderungen!G114)</f>
        <v>0</v>
      </c>
      <c r="H41" s="62">
        <f>IF(EingabenÄnderungen!$B$107&gt;0,H40,EingabenÄnderungen!H114)</f>
        <v>0</v>
      </c>
      <c r="I41" s="110">
        <f>IF(EingabenÄnderungen!$B$107&gt;0,I40,EingabenÄnderungen!I114)</f>
        <v>0</v>
      </c>
      <c r="K41" s="205"/>
    </row>
    <row r="42" spans="1:11" s="217" customFormat="1">
      <c r="A42" s="409">
        <f>IF(B42&gt;0,"./. Kostenanteil für Haushaltsstrom",0)</f>
        <v>0</v>
      </c>
      <c r="B42" s="284">
        <f t="shared" si="1"/>
        <v>0</v>
      </c>
      <c r="C42" s="62">
        <f>IF(AND(EingabenÄnderungen!$K$18&gt;0,EingabenÄnderungen!$B$107&gt;0),C39,C41)</f>
        <v>0</v>
      </c>
      <c r="D42" s="62">
        <f>IF(AND(EingabenÄnderungen!$K$18&gt;0,EingabenÄnderungen!$B$107&gt;0),D39,D41)</f>
        <v>0</v>
      </c>
      <c r="E42" s="62">
        <f>IF(AND(EingabenÄnderungen!$K$18&gt;0,EingabenÄnderungen!$B$107&gt;0),E39,E41)</f>
        <v>0</v>
      </c>
      <c r="F42" s="62">
        <f>IF(AND(EingabenÄnderungen!$K$18&gt;0,EingabenÄnderungen!$B$107&gt;0),F39,F41)</f>
        <v>0</v>
      </c>
      <c r="G42" s="62">
        <f>IF(AND(EingabenÄnderungen!$K$18&gt;0,EingabenÄnderungen!$B$107&gt;0),G39,G41)</f>
        <v>0</v>
      </c>
      <c r="H42" s="62">
        <f>IF(AND(EingabenÄnderungen!$K$18&gt;0,EingabenÄnderungen!$B$107&gt;0),H39,H41)</f>
        <v>0</v>
      </c>
      <c r="I42" s="110">
        <f>IF(AND(EingabenÄnderungen!$K$18&gt;0,EingabenÄnderungen!$B$107&gt;0),I39,I41)</f>
        <v>0</v>
      </c>
      <c r="K42" s="205"/>
    </row>
    <row r="43" spans="1:11" s="217" customFormat="1" ht="16.5" hidden="1" customHeight="1">
      <c r="A43" s="411"/>
      <c r="B43" s="62">
        <f>EingabenÄnderungen!C115</f>
        <v>0</v>
      </c>
      <c r="C43" s="62">
        <f>B43/B7</f>
        <v>0</v>
      </c>
      <c r="D43" s="62">
        <f>IF(D9=0,0,B43/B7)</f>
        <v>0</v>
      </c>
      <c r="E43" s="62">
        <f>IF(EingabenÄnderungen!E33=0,0,B43/B7)</f>
        <v>0</v>
      </c>
      <c r="F43" s="62">
        <f>IF(EingabenÄnderungen!F33=0,0,B43/B7)</f>
        <v>0</v>
      </c>
      <c r="G43" s="62">
        <f>IF(EingabenÄnderungen!G33=0,0,B43/B7)</f>
        <v>0</v>
      </c>
      <c r="H43" s="62">
        <f>IF(EingabenÄnderungen!H33=0,0,B43/B7)</f>
        <v>0</v>
      </c>
      <c r="I43" s="110">
        <f>IF(EingabenÄnderungen!I33=0,0,B43/B7)</f>
        <v>0</v>
      </c>
      <c r="K43" s="205"/>
    </row>
    <row r="44" spans="1:11" s="217" customFormat="1" ht="16.5" hidden="1" customHeight="1">
      <c r="A44" s="409"/>
      <c r="B44" s="62">
        <f>SUM(C44:I44)</f>
        <v>0</v>
      </c>
      <c r="C44" s="62">
        <f>C43</f>
        <v>0</v>
      </c>
      <c r="D44" s="62">
        <f>D43</f>
        <v>0</v>
      </c>
      <c r="E44" s="62">
        <f>IF(EingabenÄnderungen!E8&gt;EingabenÄnderungen!E2,E43*EingabenÄnderungen!E14/30,IF(EingabenÄnderungen!E18=25,E43*EingabenÄnderungen!E10/30,E43))</f>
        <v>0</v>
      </c>
      <c r="F44" s="62">
        <f>IF(EingabenÄnderungen!F8&gt;EingabenÄnderungen!E2,F43*EingabenÄnderungen!F14/30,IF(EingabenÄnderungen!F18=25,F43*EingabenÄnderungen!F10/30,F43))</f>
        <v>0</v>
      </c>
      <c r="G44" s="62">
        <f>IF(EingabenÄnderungen!G8&gt;EingabenÄnderungen!E2,G43*EingabenÄnderungen!G14/30,IF(EingabenÄnderungen!G18=25,G43*EingabenÄnderungen!G10/30,G43))</f>
        <v>0</v>
      </c>
      <c r="H44" s="62">
        <f>IF(EingabenÄnderungen!H8&gt;EingabenÄnderungen!E2,H43*EingabenÄnderungen!H14/30,IF(EingabenÄnderungen!H18=25,H43*EingabenÄnderungen!H10/30,H43))</f>
        <v>0</v>
      </c>
      <c r="I44" s="110">
        <f>IF(EingabenÄnderungen!I8&gt;EingabenÄnderungen!E2,I43*EingabenÄnderungen!I14/30,IF(EingabenÄnderungen!I18=25,I43*EingabenÄnderungen!I10/30,I43))</f>
        <v>0</v>
      </c>
      <c r="K44" s="359">
        <f>COUNTIF(C44:I44,C44)</f>
        <v>7</v>
      </c>
    </row>
    <row r="45" spans="1:11" s="217" customFormat="1" ht="16.5" hidden="1" customHeight="1">
      <c r="A45" s="411"/>
      <c r="B45" s="62">
        <f>SUM(C45:I45)</f>
        <v>0</v>
      </c>
      <c r="C45" s="62">
        <f>IF(AND(B44&lt;B43,C44=C43,C44&gt;0),C43+(B43-B44)/K44,C44)</f>
        <v>0</v>
      </c>
      <c r="D45" s="62">
        <f>IF(AND(B44&lt;B43,D44=D43,D44&gt;0),D43+(B43-B44)/K44,D44)</f>
        <v>0</v>
      </c>
      <c r="E45" s="62">
        <f>IF(AND(B44&lt;B43,E44=E43,E44&gt;0),E43+(B43-B44)/K44,E44)</f>
        <v>0</v>
      </c>
      <c r="F45" s="62">
        <f>IF(AND(B44&lt;B43,F44=F43,F44&gt;0),F43+(B43-B44)/K44,F44)</f>
        <v>0</v>
      </c>
      <c r="G45" s="62">
        <f>IF(AND(B44&lt;B43,G44=G43,G44&gt;0),G43+(B43-B44)/K44,G44)</f>
        <v>0</v>
      </c>
      <c r="H45" s="62">
        <f>IF(AND(B44&lt;B43,H44=H43,H44&gt;0),H43+(B43-B44)/K44,H44)</f>
        <v>0</v>
      </c>
      <c r="I45" s="110">
        <f>IF(AND(B44&lt;B43,I44=I43,I44&gt;0),I43+(B43-B44)/K44,I44)</f>
        <v>0</v>
      </c>
    </row>
    <row r="46" spans="1:11" s="217" customFormat="1">
      <c r="A46" s="409">
        <f>IF(B46&gt;0,"Heizkosten",0)</f>
        <v>0</v>
      </c>
      <c r="B46" s="284">
        <f>SUM(C46:I46)</f>
        <v>0</v>
      </c>
      <c r="C46" s="62">
        <f>IF(EingabenÄnderungen!$K$18&gt;0,C44,C45)</f>
        <v>0</v>
      </c>
      <c r="D46" s="62">
        <f>IF(EingabenÄnderungen!$K$18&gt;0,D44,D45)</f>
        <v>0</v>
      </c>
      <c r="E46" s="62">
        <f>IF(EingabenÄnderungen!$K$18&gt;0,E44,E45)</f>
        <v>0</v>
      </c>
      <c r="F46" s="62">
        <f>IF(EingabenÄnderungen!$K$18&gt;0,F44,F45)</f>
        <v>0</v>
      </c>
      <c r="G46" s="62">
        <f>IF(EingabenÄnderungen!$K$18&gt;0,G44,G45)</f>
        <v>0</v>
      </c>
      <c r="H46" s="62">
        <f>IF(EingabenÄnderungen!$K$18&gt;0,H44,H45)</f>
        <v>0</v>
      </c>
      <c r="I46" s="110">
        <f>IF(EingabenÄnderungen!$K$18&gt;0,I44,I45)</f>
        <v>0</v>
      </c>
    </row>
    <row r="47" spans="1:11" s="217" customFormat="1" ht="16.5" hidden="1" customHeight="1">
      <c r="A47" s="230" t="s">
        <v>41</v>
      </c>
      <c r="B47" s="209">
        <f>B24-B29+B33+B37-B42+B46</f>
        <v>0</v>
      </c>
      <c r="C47" s="209">
        <f t="shared" ref="C47:I47" si="2">C24-C29+C33+C37-C42+C46</f>
        <v>0</v>
      </c>
      <c r="D47" s="209">
        <f t="shared" si="2"/>
        <v>0</v>
      </c>
      <c r="E47" s="209">
        <f t="shared" si="2"/>
        <v>0</v>
      </c>
      <c r="F47" s="209">
        <f t="shared" si="2"/>
        <v>0</v>
      </c>
      <c r="G47" s="209">
        <f t="shared" si="2"/>
        <v>0</v>
      </c>
      <c r="H47" s="209">
        <f t="shared" si="2"/>
        <v>0</v>
      </c>
      <c r="I47" s="406">
        <f t="shared" si="2"/>
        <v>0</v>
      </c>
    </row>
    <row r="48" spans="1:11" s="217" customFormat="1" ht="16.5" customHeight="1">
      <c r="A48" s="231">
        <f>IF(B49&gt;0,"Sonstiger Bedarf",0)</f>
        <v>0</v>
      </c>
      <c r="B48" s="13"/>
      <c r="C48" s="632">
        <f>C24-C29+C33+C37-C42</f>
        <v>0</v>
      </c>
      <c r="D48" s="632">
        <f t="shared" ref="D48:I48" si="3">D24-D29+D33+D37-D42</f>
        <v>0</v>
      </c>
      <c r="E48" s="632">
        <f t="shared" si="3"/>
        <v>0</v>
      </c>
      <c r="F48" s="632">
        <f t="shared" si="3"/>
        <v>0</v>
      </c>
      <c r="G48" s="632">
        <f t="shared" si="3"/>
        <v>0</v>
      </c>
      <c r="H48" s="632">
        <f t="shared" si="3"/>
        <v>0</v>
      </c>
      <c r="I48" s="633">
        <f t="shared" si="3"/>
        <v>0</v>
      </c>
    </row>
    <row r="49" spans="1:9" s="217" customFormat="1" ht="18" customHeight="1" thickBot="1">
      <c r="A49" s="232">
        <f>IF(B49&gt;0,EingabenÄnderungen!A117,0)</f>
        <v>0</v>
      </c>
      <c r="B49" s="628">
        <f>SUM(C49:I49)</f>
        <v>0</v>
      </c>
      <c r="C49" s="211">
        <f>EingabenÄnderungen!C117</f>
        <v>0</v>
      </c>
      <c r="D49" s="211">
        <f>EingabenÄnderungen!D117</f>
        <v>0</v>
      </c>
      <c r="E49" s="211">
        <f>EingabenÄnderungen!E117</f>
        <v>0</v>
      </c>
      <c r="F49" s="211">
        <f>EingabenÄnderungen!F117</f>
        <v>0</v>
      </c>
      <c r="G49" s="211">
        <f>EingabenÄnderungen!G117</f>
        <v>0</v>
      </c>
      <c r="H49" s="211">
        <f>EingabenÄnderungen!H117</f>
        <v>0</v>
      </c>
      <c r="I49" s="233">
        <f>EingabenÄnderungen!I117</f>
        <v>0</v>
      </c>
    </row>
    <row r="50" spans="1:9" s="217" customFormat="1" ht="23.25" customHeight="1" thickTop="1" thickBot="1">
      <c r="A50" s="343" t="s">
        <v>21</v>
      </c>
      <c r="B50" s="282">
        <f>SUM(C50:I50)</f>
        <v>409</v>
      </c>
      <c r="C50" s="282">
        <f t="shared" ref="C50:I50" si="4">C11+C13+C14+C15+C16+C17+C18+C19+C47+C49</f>
        <v>409</v>
      </c>
      <c r="D50" s="282">
        <f t="shared" si="4"/>
        <v>0</v>
      </c>
      <c r="E50" s="282">
        <f t="shared" si="4"/>
        <v>0</v>
      </c>
      <c r="F50" s="282">
        <f t="shared" si="4"/>
        <v>0</v>
      </c>
      <c r="G50" s="282">
        <f t="shared" si="4"/>
        <v>0</v>
      </c>
      <c r="H50" s="282">
        <f t="shared" si="4"/>
        <v>0</v>
      </c>
      <c r="I50" s="283">
        <f t="shared" si="4"/>
        <v>0</v>
      </c>
    </row>
    <row r="51" spans="1:9" s="217" customFormat="1" ht="11.25" customHeight="1" thickBot="1">
      <c r="A51" s="205"/>
      <c r="B51" s="205"/>
      <c r="C51" s="173">
        <f>VLOOKUP(E3,Bedarfssätze!B7:C14,2)</f>
        <v>391</v>
      </c>
      <c r="D51" s="173">
        <f>VLOOKUP(E3,Bedarfssätze!E7:F14,2)</f>
        <v>353</v>
      </c>
      <c r="E51" s="173">
        <f>VLOOKUP(E3,Bedarfssätze!B25:C32,2)</f>
        <v>296</v>
      </c>
      <c r="F51" s="173">
        <f>VLOOKUP(E3,Bedarfssätze!E25:F32,2)</f>
        <v>261</v>
      </c>
      <c r="G51" s="173">
        <f>VLOOKUP(E3,Bedarfssätze!H25:I32,2)</f>
        <v>229</v>
      </c>
      <c r="H51" s="173">
        <f>VLOOKUP(E3,Bedarfssätze!H7:I14,2)</f>
        <v>313</v>
      </c>
      <c r="I51" s="205"/>
    </row>
    <row r="52" spans="1:9" s="217" customFormat="1" ht="23.25">
      <c r="A52" s="221"/>
      <c r="B52" s="345" t="s">
        <v>129</v>
      </c>
      <c r="C52" s="222"/>
      <c r="D52" s="222"/>
      <c r="E52" s="222"/>
      <c r="F52" s="222"/>
      <c r="G52" s="222"/>
      <c r="H52" s="222"/>
      <c r="I52" s="223"/>
    </row>
    <row r="53" spans="1:9" s="217" customFormat="1" ht="17.25" customHeight="1">
      <c r="A53" s="224"/>
      <c r="B53" s="341" t="s">
        <v>1</v>
      </c>
      <c r="C53" s="558" t="str">
        <f>EingabenÄnderungen!C4</f>
        <v>Antragsteller</v>
      </c>
      <c r="D53" s="558" t="str">
        <f>EingabenÄnderungen!D4</f>
        <v>Partner(in)</v>
      </c>
      <c r="E53" s="558" t="str">
        <f>EingabenÄnderungen!E4</f>
        <v>Kind 1</v>
      </c>
      <c r="F53" s="341" t="s">
        <v>8</v>
      </c>
      <c r="G53" s="341" t="s">
        <v>9</v>
      </c>
      <c r="H53" s="341" t="s">
        <v>10</v>
      </c>
      <c r="I53" s="342" t="s">
        <v>34</v>
      </c>
    </row>
    <row r="54" spans="1:9" s="217" customFormat="1" ht="16.5" hidden="1" customHeight="1">
      <c r="A54" s="231" t="s">
        <v>54</v>
      </c>
      <c r="B54" s="208">
        <f>SUM(C54:I54)</f>
        <v>0</v>
      </c>
      <c r="C54" s="13">
        <f>EingabenÄnderungen!C140</f>
        <v>0</v>
      </c>
      <c r="D54" s="13">
        <f>EingabenÄnderungen!D140</f>
        <v>0</v>
      </c>
      <c r="E54" s="13">
        <f>EingabenÄnderungen!E140</f>
        <v>0</v>
      </c>
      <c r="F54" s="13">
        <f>EingabenÄnderungen!F140</f>
        <v>0</v>
      </c>
      <c r="G54" s="13">
        <f>EingabenÄnderungen!G140</f>
        <v>0</v>
      </c>
      <c r="H54" s="13">
        <f>EingabenÄnderungen!H140</f>
        <v>0</v>
      </c>
      <c r="I54" s="13">
        <f>EingabenÄnderungen!I140</f>
        <v>0</v>
      </c>
    </row>
    <row r="55" spans="1:9" s="217" customFormat="1">
      <c r="A55" s="412">
        <f>IF(B55&gt;0,"Nettolohn",0)</f>
        <v>0</v>
      </c>
      <c r="B55" s="284">
        <f>SUM(C55:I55)</f>
        <v>0</v>
      </c>
      <c r="C55" s="62">
        <f>EingabenÄnderungen!C133</f>
        <v>0</v>
      </c>
      <c r="D55" s="62">
        <f>EingabenÄnderungen!D133</f>
        <v>0</v>
      </c>
      <c r="E55" s="62">
        <f>EingabenÄnderungen!E133</f>
        <v>0</v>
      </c>
      <c r="F55" s="62">
        <f>EingabenÄnderungen!F133</f>
        <v>0</v>
      </c>
      <c r="G55" s="62">
        <f>EingabenÄnderungen!G133</f>
        <v>0</v>
      </c>
      <c r="H55" s="62">
        <f>EingabenÄnderungen!H133</f>
        <v>0</v>
      </c>
      <c r="I55" s="110">
        <f>EingabenÄnderungen!I133</f>
        <v>0</v>
      </c>
    </row>
    <row r="56" spans="1:9" s="217" customFormat="1">
      <c r="A56" s="408">
        <f>IF(B56&gt;0,"Ausbildungsvergütung (netto)",0)</f>
        <v>0</v>
      </c>
      <c r="B56" s="284">
        <f t="shared" ref="B56:B70" si="5">SUM(C56:I56)</f>
        <v>0</v>
      </c>
      <c r="C56" s="62">
        <f>EingabenÄnderungen!C137</f>
        <v>0</v>
      </c>
      <c r="D56" s="62">
        <f>EingabenÄnderungen!D137</f>
        <v>0</v>
      </c>
      <c r="E56" s="62">
        <f>EingabenÄnderungen!E137</f>
        <v>0</v>
      </c>
      <c r="F56" s="62">
        <f>EingabenÄnderungen!F137</f>
        <v>0</v>
      </c>
      <c r="G56" s="62">
        <f>EingabenÄnderungen!G137</f>
        <v>0</v>
      </c>
      <c r="H56" s="62">
        <f>EingabenÄnderungen!H137</f>
        <v>0</v>
      </c>
      <c r="I56" s="110">
        <f>EingabenÄnderungen!I137</f>
        <v>0</v>
      </c>
    </row>
    <row r="57" spans="1:9" s="217" customFormat="1">
      <c r="A57" s="408">
        <f>IF(B57&gt;0,EingabenÄnderungen!A139,0)</f>
        <v>0</v>
      </c>
      <c r="B57" s="284">
        <f t="shared" si="5"/>
        <v>0</v>
      </c>
      <c r="C57" s="62">
        <f>EingabenÄnderungen!C139</f>
        <v>0</v>
      </c>
      <c r="D57" s="62">
        <f>EingabenÄnderungen!D139</f>
        <v>0</v>
      </c>
      <c r="E57" s="62">
        <f>EingabenÄnderungen!E139</f>
        <v>0</v>
      </c>
      <c r="F57" s="62">
        <f>EingabenÄnderungen!F139</f>
        <v>0</v>
      </c>
      <c r="G57" s="62">
        <f>EingabenÄnderungen!G139</f>
        <v>0</v>
      </c>
      <c r="H57" s="62">
        <f>EingabenÄnderungen!H139</f>
        <v>0</v>
      </c>
      <c r="I57" s="110">
        <f>EingabenÄnderungen!I139</f>
        <v>0</v>
      </c>
    </row>
    <row r="58" spans="1:9" s="217" customFormat="1">
      <c r="A58" s="408">
        <f>IF(B58&gt;0,"steuerfreie Einnahmen Ehrenamt o.ä.",0)</f>
        <v>0</v>
      </c>
      <c r="B58" s="284">
        <f t="shared" si="5"/>
        <v>0</v>
      </c>
      <c r="C58" s="62">
        <f>EingabenÄnderungen!C138</f>
        <v>0</v>
      </c>
      <c r="D58" s="62">
        <f>EingabenÄnderungen!D138</f>
        <v>0</v>
      </c>
      <c r="E58" s="62">
        <f>EingabenÄnderungen!E138</f>
        <v>0</v>
      </c>
      <c r="F58" s="62">
        <f>EingabenÄnderungen!F138</f>
        <v>0</v>
      </c>
      <c r="G58" s="62">
        <f>EingabenÄnderungen!G138</f>
        <v>0</v>
      </c>
      <c r="H58" s="62">
        <f>EingabenÄnderungen!H138</f>
        <v>0</v>
      </c>
      <c r="I58" s="110">
        <f>EingabenÄnderungen!I138</f>
        <v>0</v>
      </c>
    </row>
    <row r="59" spans="1:9" s="217" customFormat="1">
      <c r="A59" s="408">
        <f>IF(B59&gt;0,"Einkommen aus Freiwilligendienste",0)</f>
        <v>0</v>
      </c>
      <c r="B59" s="284">
        <f t="shared" si="5"/>
        <v>0</v>
      </c>
      <c r="C59" s="62">
        <f>EingabenÄnderungen!C168</f>
        <v>0</v>
      </c>
      <c r="D59" s="62">
        <f>EingabenÄnderungen!D168</f>
        <v>0</v>
      </c>
      <c r="E59" s="62">
        <f>EingabenÄnderungen!E168</f>
        <v>0</v>
      </c>
      <c r="F59" s="62">
        <f>EingabenÄnderungen!F168</f>
        <v>0</v>
      </c>
      <c r="G59" s="62">
        <f>EingabenÄnderungen!G168</f>
        <v>0</v>
      </c>
      <c r="H59" s="62">
        <f>EingabenÄnderungen!H168</f>
        <v>0</v>
      </c>
      <c r="I59" s="110">
        <f>EingabenÄnderungen!I168</f>
        <v>0</v>
      </c>
    </row>
    <row r="60" spans="1:9" s="217" customFormat="1">
      <c r="A60" s="408">
        <f>IF(B60&gt;0,"Elterngeld",0)</f>
        <v>0</v>
      </c>
      <c r="B60" s="284">
        <f t="shared" si="5"/>
        <v>0</v>
      </c>
      <c r="C60" s="62">
        <f>EingabenÄnderungen!C172</f>
        <v>0</v>
      </c>
      <c r="D60" s="62">
        <f>EingabenÄnderungen!D172</f>
        <v>0</v>
      </c>
      <c r="E60" s="62"/>
      <c r="F60" s="62"/>
      <c r="G60" s="62"/>
      <c r="H60" s="62"/>
      <c r="I60" s="110"/>
    </row>
    <row r="61" spans="1:9" s="217" customFormat="1">
      <c r="A61" s="408">
        <f>IF(B61&gt;0,EingabenÄnderungen!A178,0)</f>
        <v>0</v>
      </c>
      <c r="B61" s="284">
        <f t="shared" si="5"/>
        <v>0</v>
      </c>
      <c r="C61" s="62">
        <f>EingabenÄnderungen!C178</f>
        <v>0</v>
      </c>
      <c r="D61" s="62">
        <f>EingabenÄnderungen!D178</f>
        <v>0</v>
      </c>
      <c r="E61" s="62">
        <f>EingabenÄnderungen!E178</f>
        <v>0</v>
      </c>
      <c r="F61" s="62">
        <f>EingabenÄnderungen!F178</f>
        <v>0</v>
      </c>
      <c r="G61" s="62"/>
      <c r="H61" s="62"/>
      <c r="I61" s="110"/>
    </row>
    <row r="62" spans="1:9" s="217" customFormat="1">
      <c r="A62" s="408">
        <f>IF(B62&gt;0,"Kindergeld",0)</f>
        <v>0</v>
      </c>
      <c r="B62" s="284">
        <f t="shared" si="5"/>
        <v>0</v>
      </c>
      <c r="C62" s="62">
        <f>EingabenÄnderungen!C190</f>
        <v>0</v>
      </c>
      <c r="D62" s="62">
        <f>EingabenÄnderungen!D190</f>
        <v>0</v>
      </c>
      <c r="E62" s="62">
        <f>EingabenÄnderungen!E190</f>
        <v>0</v>
      </c>
      <c r="F62" s="62">
        <f>EingabenÄnderungen!F190</f>
        <v>0</v>
      </c>
      <c r="G62" s="62">
        <f>EingabenÄnderungen!G190</f>
        <v>0</v>
      </c>
      <c r="H62" s="62">
        <f>EingabenÄnderungen!H190</f>
        <v>0</v>
      </c>
      <c r="I62" s="110">
        <f>EingabenÄnderungen!I190</f>
        <v>0</v>
      </c>
    </row>
    <row r="63" spans="1:9" s="217" customFormat="1">
      <c r="A63" s="408">
        <f>IF(B63&gt;0,"Unterhalt/Unterhaltsvorschuss",0)</f>
        <v>0</v>
      </c>
      <c r="B63" s="284">
        <f t="shared" si="5"/>
        <v>0</v>
      </c>
      <c r="C63" s="62">
        <f>EingabenÄnderungen!C193</f>
        <v>0</v>
      </c>
      <c r="D63" s="62">
        <f>EingabenÄnderungen!D193</f>
        <v>0</v>
      </c>
      <c r="E63" s="62">
        <f>EingabenÄnderungen!E193</f>
        <v>0</v>
      </c>
      <c r="F63" s="62">
        <f>EingabenÄnderungen!F193</f>
        <v>0</v>
      </c>
      <c r="G63" s="62">
        <f>EingabenÄnderungen!G193</f>
        <v>0</v>
      </c>
      <c r="H63" s="62">
        <f>EingabenÄnderungen!H193</f>
        <v>0</v>
      </c>
      <c r="I63" s="110">
        <f>EingabenÄnderungen!I193</f>
        <v>0</v>
      </c>
    </row>
    <row r="64" spans="1:9" s="217" customFormat="1">
      <c r="A64" s="408">
        <f>IF(B64&gt;0,EingabenÄnderungen!A194,0)</f>
        <v>0</v>
      </c>
      <c r="B64" s="284">
        <f t="shared" si="5"/>
        <v>0</v>
      </c>
      <c r="C64" s="62">
        <f>EingabenÄnderungen!C194</f>
        <v>0</v>
      </c>
      <c r="D64" s="62">
        <f>EingabenÄnderungen!D194</f>
        <v>0</v>
      </c>
      <c r="E64" s="62">
        <f>EingabenÄnderungen!E194</f>
        <v>0</v>
      </c>
      <c r="F64" s="62">
        <f>EingabenÄnderungen!F194</f>
        <v>0</v>
      </c>
      <c r="G64" s="62">
        <f>EingabenÄnderungen!G194</f>
        <v>0</v>
      </c>
      <c r="H64" s="62">
        <f>EingabenÄnderungen!H194</f>
        <v>0</v>
      </c>
      <c r="I64" s="110">
        <f>EingabenÄnderungen!I194</f>
        <v>0</v>
      </c>
    </row>
    <row r="65" spans="1:9" s="217" customFormat="1">
      <c r="A65" s="408">
        <f>IF(B65&gt;0,"Altersrente",0)</f>
        <v>0</v>
      </c>
      <c r="B65" s="284">
        <f t="shared" si="5"/>
        <v>0</v>
      </c>
      <c r="C65" s="62">
        <f>EingabenÄnderungen!C195</f>
        <v>0</v>
      </c>
      <c r="D65" s="62">
        <f>EingabenÄnderungen!D195</f>
        <v>0</v>
      </c>
      <c r="E65" s="62">
        <f>EingabenÄnderungen!E195</f>
        <v>0</v>
      </c>
      <c r="F65" s="62">
        <f>EingabenÄnderungen!F195</f>
        <v>0</v>
      </c>
      <c r="G65" s="62">
        <f>EingabenÄnderungen!G195</f>
        <v>0</v>
      </c>
      <c r="H65" s="62">
        <f>EingabenÄnderungen!H195</f>
        <v>0</v>
      </c>
      <c r="I65" s="110">
        <f>EingabenÄnderungen!I195</f>
        <v>0</v>
      </c>
    </row>
    <row r="66" spans="1:9" s="217" customFormat="1">
      <c r="A66" s="408">
        <f>IF(B66&gt;0,EingabenÄnderungen!A196,0)</f>
        <v>0</v>
      </c>
      <c r="B66" s="284">
        <f t="shared" si="5"/>
        <v>0</v>
      </c>
      <c r="C66" s="62">
        <f>EingabenÄnderungen!C196</f>
        <v>0</v>
      </c>
      <c r="D66" s="62">
        <f>EingabenÄnderungen!D196</f>
        <v>0</v>
      </c>
      <c r="E66" s="62">
        <f>EingabenÄnderungen!E196</f>
        <v>0</v>
      </c>
      <c r="F66" s="62">
        <f>EingabenÄnderungen!F196</f>
        <v>0</v>
      </c>
      <c r="G66" s="62">
        <f>EingabenÄnderungen!G196</f>
        <v>0</v>
      </c>
      <c r="H66" s="62">
        <f>EingabenÄnderungen!H196</f>
        <v>0</v>
      </c>
      <c r="I66" s="110">
        <f>EingabenÄnderungen!I196</f>
        <v>0</v>
      </c>
    </row>
    <row r="67" spans="1:9" s="217" customFormat="1" ht="16.5" hidden="1" customHeight="1">
      <c r="A67" s="408"/>
      <c r="B67" s="284">
        <f t="shared" si="5"/>
        <v>0</v>
      </c>
      <c r="C67" s="62"/>
      <c r="D67" s="62"/>
      <c r="E67" s="62"/>
      <c r="F67" s="62"/>
      <c r="G67" s="62"/>
      <c r="H67" s="62"/>
      <c r="I67" s="110"/>
    </row>
    <row r="68" spans="1:9" s="217" customFormat="1" ht="17.25" thickBot="1">
      <c r="A68" s="413">
        <f>IF(B68&gt;0,EingabenÄnderungen!A197,0)</f>
        <v>0</v>
      </c>
      <c r="B68" s="285">
        <f t="shared" si="5"/>
        <v>0</v>
      </c>
      <c r="C68" s="286">
        <f>EingabenÄnderungen!C197</f>
        <v>0</v>
      </c>
      <c r="D68" s="286">
        <f>EingabenÄnderungen!D197</f>
        <v>0</v>
      </c>
      <c r="E68" s="286">
        <f>EingabenÄnderungen!E197</f>
        <v>0</v>
      </c>
      <c r="F68" s="286">
        <f>EingabenÄnderungen!F197</f>
        <v>0</v>
      </c>
      <c r="G68" s="286">
        <f>EingabenÄnderungen!G197</f>
        <v>0</v>
      </c>
      <c r="H68" s="286">
        <f>EingabenÄnderungen!H197</f>
        <v>0</v>
      </c>
      <c r="I68" s="287">
        <f>EingabenÄnderungen!I197</f>
        <v>0</v>
      </c>
    </row>
    <row r="69" spans="1:9" s="217" customFormat="1" ht="16.5" hidden="1" customHeight="1">
      <c r="A69" s="262"/>
      <c r="B69" s="288"/>
      <c r="C69" s="132">
        <f>SUM(C60:C68)</f>
        <v>0</v>
      </c>
      <c r="D69" s="132">
        <f t="shared" ref="D69:I69" si="6">SUM(D60:D68)</f>
        <v>0</v>
      </c>
      <c r="E69" s="132">
        <f t="shared" si="6"/>
        <v>0</v>
      </c>
      <c r="F69" s="132">
        <f t="shared" si="6"/>
        <v>0</v>
      </c>
      <c r="G69" s="132">
        <f t="shared" si="6"/>
        <v>0</v>
      </c>
      <c r="H69" s="132">
        <f t="shared" si="6"/>
        <v>0</v>
      </c>
      <c r="I69" s="133">
        <f t="shared" si="6"/>
        <v>0</v>
      </c>
    </row>
    <row r="70" spans="1:9" s="217" customFormat="1" ht="18" thickTop="1" thickBot="1">
      <c r="A70" s="242" t="s">
        <v>26</v>
      </c>
      <c r="B70" s="289">
        <f t="shared" si="5"/>
        <v>0</v>
      </c>
      <c r="C70" s="290">
        <f t="shared" ref="C70:I70" si="7">SUM(C55:C68)</f>
        <v>0</v>
      </c>
      <c r="D70" s="290">
        <f t="shared" si="7"/>
        <v>0</v>
      </c>
      <c r="E70" s="290">
        <f t="shared" si="7"/>
        <v>0</v>
      </c>
      <c r="F70" s="290">
        <f t="shared" si="7"/>
        <v>0</v>
      </c>
      <c r="G70" s="290">
        <f t="shared" si="7"/>
        <v>0</v>
      </c>
      <c r="H70" s="290">
        <f t="shared" si="7"/>
        <v>0</v>
      </c>
      <c r="I70" s="291">
        <f t="shared" si="7"/>
        <v>0</v>
      </c>
    </row>
    <row r="71" spans="1:9" s="217" customFormat="1" ht="16.5" hidden="1" customHeight="1">
      <c r="A71" s="411"/>
      <c r="B71" s="62"/>
      <c r="C71" s="128">
        <f>IF(AND(EingabenÄnderungen!C160&gt;0,EingabenÄnderungen!C163=EingabenÄnderungen!C160),0,EingabenÄnderungen!C201)</f>
        <v>0</v>
      </c>
      <c r="D71" s="128">
        <f>IF(AND(EingabenÄnderungen!D160&gt;0,EingabenÄnderungen!D163=EingabenÄnderungen!D160),0,EingabenÄnderungen!D201)</f>
        <v>0</v>
      </c>
      <c r="E71" s="128">
        <f>IF(AND(EingabenÄnderungen!E160&gt;0,EingabenÄnderungen!E163=EingabenÄnderungen!E160),0,EingabenÄnderungen!E201)</f>
        <v>0</v>
      </c>
      <c r="F71" s="128">
        <f>IF(AND(EingabenÄnderungen!F160&gt;0,EingabenÄnderungen!F163=EingabenÄnderungen!F160),0,EingabenÄnderungen!F201)</f>
        <v>0</v>
      </c>
      <c r="G71" s="128">
        <f>IF(AND(EingabenÄnderungen!G160&gt;0,EingabenÄnderungen!G163=EingabenÄnderungen!G160),0,EingabenÄnderungen!G201)</f>
        <v>0</v>
      </c>
      <c r="H71" s="128">
        <f>IF(AND(EingabenÄnderungen!H160&gt;0,EingabenÄnderungen!H163=EingabenÄnderungen!H160),0,EingabenÄnderungen!H201)</f>
        <v>0</v>
      </c>
      <c r="I71" s="190">
        <f>IF(AND(EingabenÄnderungen!I160&gt;0,EingabenÄnderungen!I163=EingabenÄnderungen!I160),0,EingabenÄnderungen!I201)</f>
        <v>0</v>
      </c>
    </row>
    <row r="72" spans="1:9" s="217" customFormat="1" ht="16.5" hidden="1" customHeight="1">
      <c r="A72" s="411"/>
      <c r="B72" s="62"/>
      <c r="C72" s="128">
        <f>IF(AND(EingabenÄnderungen!C212&gt;C113,C78&lt;0),C71+C78,C71)</f>
        <v>0</v>
      </c>
      <c r="D72" s="128">
        <f>IF(AND(EingabenÄnderungen!D212&gt;D113,D78&lt;0),D71+D78,D71)</f>
        <v>0</v>
      </c>
      <c r="E72" s="128">
        <f>IF(AND(EingabenÄnderungen!E212&gt;E113,E78&lt;0),E71+E78,E71)</f>
        <v>0</v>
      </c>
      <c r="F72" s="128">
        <f>IF(AND(EingabenÄnderungen!F212&gt;F113,F78&lt;0),F71+F78,F71)</f>
        <v>0</v>
      </c>
      <c r="G72" s="128">
        <f>IF(AND(EingabenÄnderungen!G212&gt;G113,G78&lt;0),G71+G78,G71)</f>
        <v>0</v>
      </c>
      <c r="H72" s="128">
        <f>IF(AND(EingabenÄnderungen!H212&gt;H113,H78&lt;0),H71+H78,H71)</f>
        <v>0</v>
      </c>
      <c r="I72" s="190">
        <f>IF(AND(EingabenÄnderungen!I212&gt;I113,I78&lt;0),I71+I78,I71)</f>
        <v>0</v>
      </c>
    </row>
    <row r="73" spans="1:9" s="217" customFormat="1" ht="16.5" hidden="1" customHeight="1">
      <c r="A73" s="411"/>
      <c r="B73" s="62"/>
      <c r="C73" s="128">
        <f>IF(AND(C113&gt;0,EingabenÄnderungen!C212&lt;C113),0,C72)</f>
        <v>0</v>
      </c>
      <c r="D73" s="128">
        <f>IF(AND(D113&gt;0,EingabenÄnderungen!D212&lt;D113),0,D72)</f>
        <v>0</v>
      </c>
      <c r="E73" s="128">
        <f>IF(AND(E113&gt;0,EingabenÄnderungen!E212&lt;E113),0,E72)</f>
        <v>0</v>
      </c>
      <c r="F73" s="128">
        <f>IF(AND(F113&gt;0,EingabenÄnderungen!F212&lt;F113),0,F72)</f>
        <v>0</v>
      </c>
      <c r="G73" s="128">
        <f>IF(AND(G113&gt;0,EingabenÄnderungen!G212&lt;G113),0,G72)</f>
        <v>0</v>
      </c>
      <c r="H73" s="128">
        <f>IF(AND(H113&gt;0,EingabenÄnderungen!H212&lt;H113),0,H72)</f>
        <v>0</v>
      </c>
      <c r="I73" s="190">
        <f>IF(AND(I113&gt;0,EingabenÄnderungen!I212&lt;I113),0,I72)</f>
        <v>0</v>
      </c>
    </row>
    <row r="74" spans="1:9" s="217" customFormat="1" ht="16.5" hidden="1" customHeight="1">
      <c r="A74" s="411"/>
      <c r="B74" s="62"/>
      <c r="C74" s="128">
        <f>IF(C113=0,EingabenÄnderungen!C201,0)</f>
        <v>0</v>
      </c>
      <c r="D74" s="128">
        <f>IF(D113=0,EingabenÄnderungen!D201,0)</f>
        <v>0</v>
      </c>
      <c r="E74" s="128">
        <f>IF(E113=0,EingabenÄnderungen!E201,0)</f>
        <v>0</v>
      </c>
      <c r="F74" s="128">
        <f>IF(F113=0,EingabenÄnderungen!F201,0)</f>
        <v>0</v>
      </c>
      <c r="G74" s="128">
        <f>IF(G113=0,EingabenÄnderungen!G201,0)</f>
        <v>0</v>
      </c>
      <c r="H74" s="128">
        <f>IF(H113=0,EingabenÄnderungen!H201,0)</f>
        <v>0</v>
      </c>
      <c r="I74" s="190">
        <f>IF(I113=0,EingabenÄnderungen!I201,0)</f>
        <v>0</v>
      </c>
    </row>
    <row r="75" spans="1:9" s="217" customFormat="1" ht="16.5" hidden="1" customHeight="1">
      <c r="A75" s="411"/>
      <c r="B75" s="298"/>
      <c r="C75" s="132">
        <f>IF(C74=30,C74,C73)</f>
        <v>0</v>
      </c>
      <c r="D75" s="132">
        <f t="shared" ref="D75:I75" si="8">IF(D74=30,D74,D73)</f>
        <v>0</v>
      </c>
      <c r="E75" s="132">
        <f t="shared" si="8"/>
        <v>0</v>
      </c>
      <c r="F75" s="132">
        <f t="shared" si="8"/>
        <v>0</v>
      </c>
      <c r="G75" s="132">
        <f t="shared" si="8"/>
        <v>0</v>
      </c>
      <c r="H75" s="132">
        <f t="shared" si="8"/>
        <v>0</v>
      </c>
      <c r="I75" s="133">
        <f t="shared" si="8"/>
        <v>0</v>
      </c>
    </row>
    <row r="76" spans="1:9" s="217" customFormat="1">
      <c r="A76" s="414">
        <f>IF(B76&gt;0,"./. Versicherungspauschale",0)</f>
        <v>0</v>
      </c>
      <c r="B76" s="292">
        <f>SUM(C76:I76)</f>
        <v>0</v>
      </c>
      <c r="C76" s="715">
        <f>IF(C70=0,0,IF(C75&lt;0,0,IF(AND(C114&gt;0,C54&lt;=400),0,IF(AND(C114&gt;0,EingabenÄnderungen!C141=0),0,IF(AND(C120=EingabenÄnderungen!C187,C61&gt;0,EingabenÄnderungen!C187&gt;0),0,C75)))))</f>
        <v>0</v>
      </c>
      <c r="D76" s="715">
        <f>IF(D70=0,0,IF(D75&lt;0,0,IF(AND(D114&gt;0,D54&lt;=400),0,IF(AND(D114&gt;0,EingabenÄnderungen!D141=0),0,IF(AND(D120=EingabenÄnderungen!D187,D61&gt;0,EingabenÄnderungen!D187&gt;0),0,D75)))))</f>
        <v>0</v>
      </c>
      <c r="E76" s="715">
        <f>IF(E70=0,0,IF(E75&lt;0,0,IF(AND(E114&gt;0,E54&lt;=400),0,IF(AND(E114&gt;0,EingabenÄnderungen!E141=0),0,IF(AND(E120=EingabenÄnderungen!E187,E61&gt;0,EingabenÄnderungen!E187&gt;0),0,E75)))))</f>
        <v>0</v>
      </c>
      <c r="F76" s="715">
        <f>IF(F70=0,0,IF(F75&lt;0,0,IF(AND(F114&gt;0,F54&lt;=400),0,IF(AND(F114&gt;0,EingabenÄnderungen!F141=0),0,IF(AND(F120=EingabenÄnderungen!F187,F61&gt;0,EingabenÄnderungen!F187&gt;0),0,F75)))))</f>
        <v>0</v>
      </c>
      <c r="G76" s="715">
        <f>IF(G70=0,0,IF(G75&lt;0,0,IF(AND(G114&gt;0,G54&lt;=400),0,IF(AND(G114&gt;0,EingabenÄnderungen!G141=0),0,IF(AND(G120=EingabenÄnderungen!G187,G61&gt;0,EingabenÄnderungen!G187&gt;0),0,G75)))))</f>
        <v>0</v>
      </c>
      <c r="H76" s="715">
        <f>IF(H70=0,0,IF(H75&lt;0,0,IF(AND(H114&gt;0,H54&lt;=400),0,IF(AND(H114&gt;0,EingabenÄnderungen!H141=0),0,IF(AND(H120=EingabenÄnderungen!H187,H61&gt;0,EingabenÄnderungen!H187&gt;0),0,H75)))))</f>
        <v>0</v>
      </c>
      <c r="I76" s="716">
        <f>IF(I70=0,0,IF(I75&lt;0,0,IF(AND(I114&gt;0,I54&lt;=400),0,IF(AND(I114&gt;0,EingabenÄnderungen!I141=0),0,IF(AND(I120=EingabenÄnderungen!I187,I61&gt;0,EingabenÄnderungen!I187&gt;0),0,I75)))))</f>
        <v>0</v>
      </c>
    </row>
    <row r="77" spans="1:9" s="217" customFormat="1" ht="16.5" hidden="1" customHeight="1">
      <c r="A77" s="411"/>
      <c r="B77" s="62"/>
      <c r="C77" s="128">
        <f>IF(AND(EingabenÄnderungen!C160&gt;0,EingabenÄnderungen!C163=EingabenÄnderungen!C160),0,EingabenÄnderungen!C202-EingabenÄnderungen!C160)</f>
        <v>0</v>
      </c>
      <c r="D77" s="128">
        <f>IF(AND(EingabenÄnderungen!D160&gt;0,EingabenÄnderungen!D163=EingabenÄnderungen!D160),0,EingabenÄnderungen!D202-EingabenÄnderungen!D160)</f>
        <v>0</v>
      </c>
      <c r="E77" s="128">
        <f>IF(AND(EingabenÄnderungen!E160&gt;0,EingabenÄnderungen!E163=EingabenÄnderungen!E160),0,EingabenÄnderungen!E202-EingabenÄnderungen!E160)</f>
        <v>0</v>
      </c>
      <c r="F77" s="128">
        <f>IF(AND(EingabenÄnderungen!F160&gt;0,EingabenÄnderungen!F163=EingabenÄnderungen!F160),0,EingabenÄnderungen!F202-EingabenÄnderungen!F160)</f>
        <v>0</v>
      </c>
      <c r="G77" s="128">
        <f>IF(AND(EingabenÄnderungen!G160&gt;0,EingabenÄnderungen!G163=EingabenÄnderungen!G160),0,EingabenÄnderungen!G202-EingabenÄnderungen!G160)</f>
        <v>0</v>
      </c>
      <c r="H77" s="128">
        <f>IF(AND(EingabenÄnderungen!H160&gt;0,EingabenÄnderungen!H163=EingabenÄnderungen!H160),0,EingabenÄnderungen!H202-EingabenÄnderungen!H160)</f>
        <v>0</v>
      </c>
      <c r="I77" s="190">
        <f>IF(AND(EingabenÄnderungen!I160&gt;0,EingabenÄnderungen!I163=EingabenÄnderungen!I160),0,EingabenÄnderungen!I202-EingabenÄnderungen!I160)</f>
        <v>0</v>
      </c>
    </row>
    <row r="78" spans="1:9" s="217" customFormat="1" ht="16.5" hidden="1" customHeight="1">
      <c r="A78" s="411"/>
      <c r="B78" s="62"/>
      <c r="C78" s="128">
        <f>IF(AND(C71&gt;0,C77&gt;EingabenÄnderungen!C202),EingabenÄnderungen!C202,C77)</f>
        <v>0</v>
      </c>
      <c r="D78" s="128">
        <f>IF(AND(D71&gt;0,D77&gt;EingabenÄnderungen!D202),EingabenÄnderungen!D202,D77)</f>
        <v>0</v>
      </c>
      <c r="E78" s="128">
        <f>IF(AND(E71&gt;0,E77&gt;EingabenÄnderungen!E202),EingabenÄnderungen!E202,E77)</f>
        <v>0</v>
      </c>
      <c r="F78" s="128">
        <f>IF(AND(F71&gt;0,F77&gt;EingabenÄnderungen!F202),EingabenÄnderungen!F202,F77)</f>
        <v>0</v>
      </c>
      <c r="G78" s="128">
        <f>IF(AND(G71&gt;0,G77&gt;EingabenÄnderungen!G202),EingabenÄnderungen!G202,G77)</f>
        <v>0</v>
      </c>
      <c r="H78" s="128">
        <f>IF(AND(H71&gt;0,H77&gt;EingabenÄnderungen!H202),EingabenÄnderungen!H202,H77)</f>
        <v>0</v>
      </c>
      <c r="I78" s="190">
        <f>IF(AND(I71&gt;0,I77&gt;EingabenÄnderungen!I202),EingabenÄnderungen!I202,I77)</f>
        <v>0</v>
      </c>
    </row>
    <row r="79" spans="1:9" s="217" customFormat="1" ht="16.5" hidden="1" customHeight="1">
      <c r="A79" s="411"/>
      <c r="B79" s="62"/>
      <c r="C79" s="128">
        <f>IF(C113=0,EingabenÄnderungen!C202,0)</f>
        <v>0</v>
      </c>
      <c r="D79" s="128">
        <f>IF(D113=0,EingabenÄnderungen!D202,0)</f>
        <v>0</v>
      </c>
      <c r="E79" s="128">
        <f>IF(E113=0,EingabenÄnderungen!E202,0)</f>
        <v>0</v>
      </c>
      <c r="F79" s="128">
        <f>IF(F113=0,EingabenÄnderungen!F202,0)</f>
        <v>0</v>
      </c>
      <c r="G79" s="128">
        <f>IF(G113=0,EingabenÄnderungen!G202,0)</f>
        <v>0</v>
      </c>
      <c r="H79" s="128">
        <f>IF(H113=0,EingabenÄnderungen!H202,0)</f>
        <v>0</v>
      </c>
      <c r="I79" s="190">
        <f>IF(I113=0,EingabenÄnderungen!I202,0)</f>
        <v>0</v>
      </c>
    </row>
    <row r="80" spans="1:9" s="217" customFormat="1" ht="16.5" hidden="1" customHeight="1">
      <c r="A80" s="411"/>
      <c r="B80" s="62"/>
      <c r="C80" s="128">
        <f>IF(C79=EingabenÄnderungen!C202,C79,C78)</f>
        <v>0</v>
      </c>
      <c r="D80" s="128">
        <f>IF(D79=EingabenÄnderungen!D202,D79,D78)</f>
        <v>0</v>
      </c>
      <c r="E80" s="128">
        <f>IF(E79=EingabenÄnderungen!E202,E79,E78)</f>
        <v>0</v>
      </c>
      <c r="F80" s="128">
        <f>IF(F79=EingabenÄnderungen!F202,F79,F78)</f>
        <v>0</v>
      </c>
      <c r="G80" s="128">
        <f>IF(G79=EingabenÄnderungen!G202,G79,G78)</f>
        <v>0</v>
      </c>
      <c r="H80" s="128">
        <f>IF(H79=EingabenÄnderungen!H202,H79,H78)</f>
        <v>0</v>
      </c>
      <c r="I80" s="190">
        <f>IF(I79=EingabenÄnderungen!I202,I79,I78)</f>
        <v>0</v>
      </c>
    </row>
    <row r="81" spans="1:9" s="217" customFormat="1" ht="16.5" hidden="1" customHeight="1">
      <c r="A81" s="411"/>
      <c r="B81" s="62"/>
      <c r="C81" s="295">
        <f t="shared" ref="C81:I81" si="9">IF(OR(C80&lt;0,C70=0),0,C80)</f>
        <v>0</v>
      </c>
      <c r="D81" s="295">
        <f t="shared" si="9"/>
        <v>0</v>
      </c>
      <c r="E81" s="295">
        <f t="shared" si="9"/>
        <v>0</v>
      </c>
      <c r="F81" s="295">
        <f t="shared" si="9"/>
        <v>0</v>
      </c>
      <c r="G81" s="295">
        <f t="shared" si="9"/>
        <v>0</v>
      </c>
      <c r="H81" s="295">
        <f t="shared" si="9"/>
        <v>0</v>
      </c>
      <c r="I81" s="296">
        <f t="shared" si="9"/>
        <v>0</v>
      </c>
    </row>
    <row r="82" spans="1:9" s="217" customFormat="1">
      <c r="A82" s="408">
        <f>IF(B82&gt;0,"./. Kfz-Haftpflichtversicherung",0)</f>
        <v>0</v>
      </c>
      <c r="B82" s="284">
        <f>SUM(C82:I82)</f>
        <v>0</v>
      </c>
      <c r="C82" s="295">
        <f>IF(AND(C114&gt;0,C54&lt;=400),0,IF(AND(C114&gt;0,EingabenÄnderungen!C141=0),0,IF(AND(C120=EingabenÄnderungen!C187,C61&gt;0,EingabenÄnderungen!C187&gt;0),0,C81)))</f>
        <v>0</v>
      </c>
      <c r="D82" s="295">
        <f>IF(AND(D114&gt;0,D54&lt;=400),0,IF(AND(D114&gt;0,EingabenÄnderungen!D141=0),0,IF(AND(D120=EingabenÄnderungen!D187,D61&gt;0,EingabenÄnderungen!D187&gt;0),0,D81)))</f>
        <v>0</v>
      </c>
      <c r="E82" s="295">
        <f>IF(AND(E114&gt;0,E54&lt;=400),0,IF(AND(E114&gt;0,EingabenÄnderungen!E141=0),0,IF(AND(E120=EingabenÄnderungen!E187,E61&gt;0,EingabenÄnderungen!E187&gt;0),0,E81)))</f>
        <v>0</v>
      </c>
      <c r="F82" s="295">
        <f>IF(AND(F114&gt;0,F54&lt;=400),0,IF(AND(F114&gt;0,EingabenÄnderungen!F141=0),0,IF(AND(F120=EingabenÄnderungen!F187,F61&gt;0,EingabenÄnderungen!F187&gt;0),0,F81)))</f>
        <v>0</v>
      </c>
      <c r="G82" s="295">
        <f>IF(AND(G114&gt;0,G54&lt;=400),0,IF(AND(G114&gt;0,EingabenÄnderungen!G141=0),0,IF(AND(G120=EingabenÄnderungen!G187,G61&gt;0,EingabenÄnderungen!G187&gt;0),0,G81)))</f>
        <v>0</v>
      </c>
      <c r="H82" s="295">
        <f>IF(AND(H114&gt;0,H54&lt;=400),0,IF(AND(H114&gt;0,EingabenÄnderungen!H141=0),0,IF(AND(H120=EingabenÄnderungen!H187,H61&gt;0,EingabenÄnderungen!H187&gt;0),0,H81)))</f>
        <v>0</v>
      </c>
      <c r="I82" s="296">
        <f>IF(AND(I114&gt;0,I54&lt;=400),0,IF(AND(I114&gt;0,EingabenÄnderungen!I141=0),0,IF(AND(I120=EingabenÄnderungen!I187,I61&gt;0,EingabenÄnderungen!I187&gt;0),0,I81)))</f>
        <v>0</v>
      </c>
    </row>
    <row r="83" spans="1:9" s="217" customFormat="1" ht="18" hidden="1" customHeight="1">
      <c r="A83" s="411"/>
      <c r="B83" s="128"/>
      <c r="C83" s="128">
        <f>IF(AND(EingabenÄnderungen!C160&gt;0,EingabenÄnderungen!C163=EingabenÄnderungen!C160),0,EingabenÄnderungen!C203+Zuschuss§26!C17+Zuschuss§26!C18+Zuschuss§26!C51+Zuschuss§26!C57)</f>
        <v>0</v>
      </c>
      <c r="D83" s="128">
        <f>IF(AND(EingabenÄnderungen!D160&gt;0,EingabenÄnderungen!D163=EingabenÄnderungen!D160),0,EingabenÄnderungen!D203+Zuschuss§26!D17+Zuschuss§26!D18+Zuschuss§26!D51+Zuschuss§26!D57)</f>
        <v>0</v>
      </c>
      <c r="E83" s="128">
        <f>IF(AND(EingabenÄnderungen!E160&gt;0,EingabenÄnderungen!E163=EingabenÄnderungen!E160),0,EingabenÄnderungen!E203+Zuschuss§26!E17+Zuschuss§26!E18+Zuschuss§26!E51+Zuschuss§26!E57)</f>
        <v>0</v>
      </c>
      <c r="F83" s="128">
        <f>IF(AND(EingabenÄnderungen!F160&gt;0,EingabenÄnderungen!F163=EingabenÄnderungen!F160),0,EingabenÄnderungen!F203+Zuschuss§26!F17+Zuschuss§26!F18+Zuschuss§26!F51+Zuschuss§26!F57)</f>
        <v>0</v>
      </c>
      <c r="G83" s="128">
        <f>IF(AND(EingabenÄnderungen!G160&gt;0,EingabenÄnderungen!G163=EingabenÄnderungen!G160),0,EingabenÄnderungen!G203+Zuschuss§26!G17+Zuschuss§26!G18+Zuschuss§26!G51+Zuschuss§26!G57)</f>
        <v>0</v>
      </c>
      <c r="H83" s="128">
        <f>IF(AND(EingabenÄnderungen!H160&gt;0,EingabenÄnderungen!H163=EingabenÄnderungen!H160),0,EingabenÄnderungen!H203+Zuschuss§26!H17+Zuschuss§26!H18+Zuschuss§26!H51+Zuschuss§26!H57)</f>
        <v>0</v>
      </c>
      <c r="I83" s="128">
        <f>IF(AND(EingabenÄnderungen!I160&gt;0,EingabenÄnderungen!I163=EingabenÄnderungen!I160),0,EingabenÄnderungen!I203+Zuschuss§26!I17+Zuschuss§26!I18+Zuschuss§26!I51+Zuschuss§26!I57)</f>
        <v>0</v>
      </c>
    </row>
    <row r="84" spans="1:9" s="217" customFormat="1" ht="18" hidden="1" customHeight="1">
      <c r="A84" s="411"/>
      <c r="B84" s="128"/>
      <c r="C84" s="128">
        <f>IF(AND(EingabenÄnderungen!C212&gt;C113,C78&lt;&gt;EingabenÄnderungen!C202),C83,0)</f>
        <v>0</v>
      </c>
      <c r="D84" s="128">
        <f>IF(AND(EingabenÄnderungen!D212&gt;D113,D78&lt;&gt;EingabenÄnderungen!D202),D83,0)</f>
        <v>0</v>
      </c>
      <c r="E84" s="128">
        <f>IF(AND(EingabenÄnderungen!E212&gt;E113,E78&lt;&gt;EingabenÄnderungen!E202),E83,0)</f>
        <v>0</v>
      </c>
      <c r="F84" s="128">
        <f>IF(AND(EingabenÄnderungen!F212&gt;F113,F78&lt;&gt;EingabenÄnderungen!F202),F83,0)</f>
        <v>0</v>
      </c>
      <c r="G84" s="128">
        <f>IF(AND(EingabenÄnderungen!G212&gt;G113,G78&lt;&gt;EingabenÄnderungen!G202),G83,0)</f>
        <v>0</v>
      </c>
      <c r="H84" s="128">
        <f>IF(AND(EingabenÄnderungen!H212&gt;H113,H78&lt;&gt;EingabenÄnderungen!H202),H83,0)</f>
        <v>0</v>
      </c>
      <c r="I84" s="190">
        <f>IF(AND(EingabenÄnderungen!I212&gt;I113,I78&lt;&gt;EingabenÄnderungen!I202),I83,0)</f>
        <v>0</v>
      </c>
    </row>
    <row r="85" spans="1:9" s="217" customFormat="1" ht="18" hidden="1" customHeight="1">
      <c r="A85" s="411"/>
      <c r="B85" s="128"/>
      <c r="C85" s="128">
        <f>IF(AND(Zuschuss§26!C27=0,C113=0),EingabenÄnderungen!C203,IF(AND(C113=0,Zuschuss§26!C45=0,Zuschuss§26!C18&gt;0),EingabenÄnderungen!C203+Zuschuss§26!C17+Zuschuss§26!C18,IF(AND(OR(Zuschuss§26!C51&gt;0,Zuschuss§26!C57&gt;0),C113=0),EingabenÄnderungen!C203+Zuschuss§26!C51+Zuschuss§26!C57,0)))</f>
        <v>0</v>
      </c>
      <c r="D85" s="128">
        <f>IF(AND(Zuschuss§26!D27=0,D113=0),EingabenÄnderungen!D203,IF(AND(D113=0,Zuschuss§26!D45=0,Zuschuss§26!D18&gt;0),EingabenÄnderungen!D203+Zuschuss§26!D17+Zuschuss§26!D18,IF(AND(OR(Zuschuss§26!D51&gt;0,Zuschuss§26!D57&gt;0),D113=0),EingabenÄnderungen!D203+Zuschuss§26!D51+Zuschuss§26!D57,0)))</f>
        <v>0</v>
      </c>
      <c r="E85" s="128">
        <f>IF(AND(Zuschuss§26!E27=0,E113=0),EingabenÄnderungen!E203,IF(AND(E113=0,Zuschuss§26!E45=0,Zuschuss§26!E18&gt;0),EingabenÄnderungen!E203+Zuschuss§26!E17+Zuschuss§26!E18,IF(AND(OR(Zuschuss§26!E51&gt;0,Zuschuss§26!E57&gt;0),E113=0),EingabenÄnderungen!E203+Zuschuss§26!E51+Zuschuss§26!E57,0)))</f>
        <v>0</v>
      </c>
      <c r="F85" s="128">
        <f>IF(AND(Zuschuss§26!F27=0,F113=0),EingabenÄnderungen!F203,IF(AND(F113=0,Zuschuss§26!F45=0,Zuschuss§26!F18&gt;0),EingabenÄnderungen!F203+Zuschuss§26!F17+Zuschuss§26!F18,IF(AND(OR(Zuschuss§26!F51&gt;0,Zuschuss§26!F57&gt;0),F113=0),EingabenÄnderungen!F203+Zuschuss§26!F51+Zuschuss§26!F57,0)))</f>
        <v>0</v>
      </c>
      <c r="G85" s="128">
        <f>IF(AND(Zuschuss§26!G27=0,G113=0),EingabenÄnderungen!G203,IF(AND(G113=0,Zuschuss§26!G45=0,Zuschuss§26!G18&gt;0),EingabenÄnderungen!G203+Zuschuss§26!G17+Zuschuss§26!G18,IF(AND(OR(Zuschuss§26!G51&gt;0,Zuschuss§26!G57&gt;0),G113=0),EingabenÄnderungen!G203+Zuschuss§26!G51+Zuschuss§26!G57,0)))</f>
        <v>0</v>
      </c>
      <c r="H85" s="128">
        <f>IF(AND(Zuschuss§26!H27=0,H113=0),EingabenÄnderungen!H203,IF(AND(H113=0,Zuschuss§26!H45=0,Zuschuss§26!H18&gt;0),EingabenÄnderungen!H203+Zuschuss§26!H17+Zuschuss§26!H18,IF(AND(OR(Zuschuss§26!H51&gt;0,Zuschuss§26!H57&gt;0),H113=0),EingabenÄnderungen!H203+Zuschuss§26!H51+Zuschuss§26!H57,0)))</f>
        <v>0</v>
      </c>
      <c r="I85" s="128">
        <f>IF(AND(Zuschuss§26!I27=0,I113=0),EingabenÄnderungen!I203,IF(AND(I113=0,Zuschuss§26!I45=0,Zuschuss§26!I18&gt;0),EingabenÄnderungen!I203+Zuschuss§26!I17+Zuschuss§26!I18,IF(AND(OR(Zuschuss§26!I51&gt;0,Zuschuss§26!I57&gt;0),I113=0),EingabenÄnderungen!I203+Zuschuss§26!I51+Zuschuss§26!I57,0)))</f>
        <v>0</v>
      </c>
    </row>
    <row r="86" spans="1:9" s="217" customFormat="1" ht="18" hidden="1" customHeight="1">
      <c r="A86" s="411"/>
      <c r="B86" s="128"/>
      <c r="C86" s="128">
        <f>IF(C85=EingabenÄnderungen!C203+Zuschuss§26!C17+Zuschuss§26!C18+Zuschuss§26!C51+Zuschuss§26!C57,C85,C84)</f>
        <v>0</v>
      </c>
      <c r="D86" s="128">
        <f>IF(D85=EingabenÄnderungen!D203+Zuschuss§26!D17+Zuschuss§26!D18+Zuschuss§26!D51+Zuschuss§26!D57,D85,D84)</f>
        <v>0</v>
      </c>
      <c r="E86" s="128">
        <f>IF(E85=EingabenÄnderungen!E203+Zuschuss§26!E17+Zuschuss§26!E18+Zuschuss§26!E51+Zuschuss§26!E57,E85,E84)</f>
        <v>0</v>
      </c>
      <c r="F86" s="128">
        <f>IF(F85=EingabenÄnderungen!F203+Zuschuss§26!F17+Zuschuss§26!F18+Zuschuss§26!F51+Zuschuss§26!F57,F85,F84)</f>
        <v>0</v>
      </c>
      <c r="G86" s="128">
        <f>IF(G85=EingabenÄnderungen!G203+Zuschuss§26!G17+Zuschuss§26!G18+Zuschuss§26!G51+Zuschuss§26!G57,G85,G84)</f>
        <v>0</v>
      </c>
      <c r="H86" s="128">
        <f>IF(H85=EingabenÄnderungen!H203+Zuschuss§26!H17+Zuschuss§26!H18+Zuschuss§26!H51+Zuschuss§26!H57,H85,H84)</f>
        <v>0</v>
      </c>
      <c r="I86" s="128">
        <f>IF(I85=EingabenÄnderungen!I203+Zuschuss§26!I17+Zuschuss§26!I18+Zuschuss§26!I51+Zuschuss§26!I57,I85,I84)</f>
        <v>0</v>
      </c>
    </row>
    <row r="87" spans="1:9" s="217" customFormat="1" ht="18" customHeight="1">
      <c r="A87" s="408">
        <f>IF(B87&gt;0,"./. Beiträge für Krankheit/Alter/ZVK",0)</f>
        <v>0</v>
      </c>
      <c r="B87" s="297">
        <f>SUM(C87:I87)</f>
        <v>0</v>
      </c>
      <c r="C87" s="295">
        <f>IF(C70=0,0,IF(AND(C114&gt;0,C54&lt;=400),0,IF(AND(C114&gt;0,EingabenÄnderungen!C141=0),0,IF(AND(C120=EingabenÄnderungen!C187,C61&gt;0,EingabenÄnderungen!C187&gt;0),0,C86))))</f>
        <v>0</v>
      </c>
      <c r="D87" s="295">
        <f>IF(D70=0,0,IF(AND(D114&gt;0,D54&lt;=400),0,IF(AND(D114&gt;0,EingabenÄnderungen!D141=0),0,IF(AND(D120=EingabenÄnderungen!D187,D61&gt;0,EingabenÄnderungen!D187&gt;0),0,D86))))</f>
        <v>0</v>
      </c>
      <c r="E87" s="295">
        <f>IF(E70=0,0,IF(AND(E114&gt;0,E54&lt;=400),0,IF(AND(E114&gt;0,EingabenÄnderungen!E141=0),0,IF(AND(E120=EingabenÄnderungen!E187,E61&gt;0,EingabenÄnderungen!E187&gt;0),0,E86))))</f>
        <v>0</v>
      </c>
      <c r="F87" s="295">
        <f>IF(F70=0,0,IF(AND(F114&gt;0,F54&lt;=400),0,IF(AND(F114&gt;0,EingabenÄnderungen!F141=0),0,IF(AND(F120=EingabenÄnderungen!F187,F61&gt;0,EingabenÄnderungen!F187&gt;0),0,F86))))</f>
        <v>0</v>
      </c>
      <c r="G87" s="295">
        <f>IF(G70=0,0,IF(AND(G114&gt;0,G54&lt;=400),0,IF(AND(G114&gt;0,EingabenÄnderungen!G141=0),0,IF(AND(G120=EingabenÄnderungen!G187,G61&gt;0,EingabenÄnderungen!G187&gt;0),0,G86))))</f>
        <v>0</v>
      </c>
      <c r="H87" s="295">
        <f>IF(H70=0,0,IF(AND(H114&gt;0,H54&lt;=400),0,IF(AND(H114&gt;0,EingabenÄnderungen!H141=0),0,IF(AND(H120=EingabenÄnderungen!H187,H61&gt;0,EingabenÄnderungen!H187&gt;0),0,H86))))</f>
        <v>0</v>
      </c>
      <c r="I87" s="296">
        <f>IF(I70=0,0,IF(AND(I114&gt;0,I54&lt;=400),0,IF(AND(I114&gt;0,EingabenÄnderungen!I141=0),0,IF(AND(I120=EingabenÄnderungen!I187,I61&gt;0,EingabenÄnderungen!I187&gt;0),0,I86))))</f>
        <v>0</v>
      </c>
    </row>
    <row r="88" spans="1:9" s="217" customFormat="1" ht="16.5" hidden="1" customHeight="1">
      <c r="A88" s="411"/>
      <c r="B88" s="128"/>
      <c r="C88" s="128">
        <f>IF(AND(EingabenÄnderungen!C160&gt;0,EingabenÄnderungen!C163=EingabenÄnderungen!C160),0,EingabenÄnderungen!C210)</f>
        <v>0</v>
      </c>
      <c r="D88" s="128">
        <f>IF(AND(EingabenÄnderungen!D160&gt;0,EingabenÄnderungen!D163=EingabenÄnderungen!D160),0,EingabenÄnderungen!D210)</f>
        <v>0</v>
      </c>
      <c r="E88" s="128">
        <f>IF(AND(EingabenÄnderungen!E160&gt;0,EingabenÄnderungen!E163=EingabenÄnderungen!E160),0,EingabenÄnderungen!E210)</f>
        <v>0</v>
      </c>
      <c r="F88" s="128">
        <f>IF(AND(EingabenÄnderungen!F160&gt;0,EingabenÄnderungen!F163=EingabenÄnderungen!F160),0,EingabenÄnderungen!F210)</f>
        <v>0</v>
      </c>
      <c r="G88" s="128">
        <f>IF(AND(EingabenÄnderungen!G160&gt;0,EingabenÄnderungen!G163=EingabenÄnderungen!G160),0,EingabenÄnderungen!G210)</f>
        <v>0</v>
      </c>
      <c r="H88" s="128">
        <f>IF(AND(EingabenÄnderungen!H160&gt;0,EingabenÄnderungen!H163=EingabenÄnderungen!H160),0,EingabenÄnderungen!H210)</f>
        <v>0</v>
      </c>
      <c r="I88" s="190">
        <f>IF(AND(EingabenÄnderungen!I160&gt;0,EingabenÄnderungen!I163=EingabenÄnderungen!I160),0,EingabenÄnderungen!I210)</f>
        <v>0</v>
      </c>
    </row>
    <row r="89" spans="1:9" s="217" customFormat="1" ht="16.5" hidden="1" customHeight="1">
      <c r="A89" s="411"/>
      <c r="B89" s="128"/>
      <c r="C89" s="128">
        <f>IF(AND(EingabenÄnderungen!C212&gt;C113,C78&lt;&gt;EingabenÄnderungen!C202),C88,0)</f>
        <v>0</v>
      </c>
      <c r="D89" s="128">
        <f>IF(AND(EingabenÄnderungen!D212&gt;D113,D78&lt;&gt;EingabenÄnderungen!D202),D88,0)</f>
        <v>0</v>
      </c>
      <c r="E89" s="128">
        <f>IF(AND(EingabenÄnderungen!E212&gt;E113,E78&lt;&gt;EingabenÄnderungen!E202),E88,0)</f>
        <v>0</v>
      </c>
      <c r="F89" s="128">
        <f>IF(AND(EingabenÄnderungen!F212&gt;F113,F78&lt;&gt;EingabenÄnderungen!F202),F88,0)</f>
        <v>0</v>
      </c>
      <c r="G89" s="128">
        <f>IF(AND(EingabenÄnderungen!G212&gt;G113,G78&lt;&gt;EingabenÄnderungen!G202),G88,0)</f>
        <v>0</v>
      </c>
      <c r="H89" s="128">
        <f>IF(AND(EingabenÄnderungen!H212&gt;H113,H78&lt;&gt;EingabenÄnderungen!H202),H88,0)</f>
        <v>0</v>
      </c>
      <c r="I89" s="190">
        <f>IF(AND(EingabenÄnderungen!I212&gt;I113,I78&lt;&gt;EingabenÄnderungen!I202),I88,0)</f>
        <v>0</v>
      </c>
    </row>
    <row r="90" spans="1:9" s="217" customFormat="1" ht="16.5" hidden="1" customHeight="1">
      <c r="A90" s="411"/>
      <c r="B90" s="128"/>
      <c r="C90" s="128">
        <f>IF(C113=0,EingabenÄnderungen!C210,0)</f>
        <v>0</v>
      </c>
      <c r="D90" s="128">
        <f>IF(D113=0,EingabenÄnderungen!D210,0)</f>
        <v>0</v>
      </c>
      <c r="E90" s="128">
        <f>IF(E113=0,EingabenÄnderungen!E210,0)</f>
        <v>0</v>
      </c>
      <c r="F90" s="128">
        <f>IF(F113=0,EingabenÄnderungen!F210,0)</f>
        <v>0</v>
      </c>
      <c r="G90" s="128">
        <f>IF(G113=0,EingabenÄnderungen!G210,0)</f>
        <v>0</v>
      </c>
      <c r="H90" s="128">
        <f>IF(H113=0,EingabenÄnderungen!H210,0)</f>
        <v>0</v>
      </c>
      <c r="I90" s="190">
        <f>IF(I113=0,EingabenÄnderungen!I210,0)</f>
        <v>0</v>
      </c>
    </row>
    <row r="91" spans="1:9" s="217" customFormat="1" ht="16.5" hidden="1" customHeight="1">
      <c r="A91" s="411"/>
      <c r="B91" s="128"/>
      <c r="C91" s="128">
        <f>IF(C90=EingabenÄnderungen!C210,C90,C89)</f>
        <v>0</v>
      </c>
      <c r="D91" s="128">
        <f>IF(D90=EingabenÄnderungen!D210,D90,D89)</f>
        <v>0</v>
      </c>
      <c r="E91" s="128">
        <f>IF(E90=EingabenÄnderungen!E210,E90,E89)</f>
        <v>0</v>
      </c>
      <c r="F91" s="128">
        <f>IF(F90=EingabenÄnderungen!F210,F90,F89)</f>
        <v>0</v>
      </c>
      <c r="G91" s="128">
        <f>IF(G90=EingabenÄnderungen!G210,G90,G89)</f>
        <v>0</v>
      </c>
      <c r="H91" s="128">
        <f>IF(H90=EingabenÄnderungen!H210,H90,H89)</f>
        <v>0</v>
      </c>
      <c r="I91" s="190">
        <f>IF(I90=EingabenÄnderungen!I210,I90,I89)</f>
        <v>0</v>
      </c>
    </row>
    <row r="92" spans="1:9" s="217" customFormat="1">
      <c r="A92" s="408">
        <f>IF(B92&gt;0,"./. Beiträge Riester-Rente",0)</f>
        <v>0</v>
      </c>
      <c r="B92" s="297">
        <f>SUM(C92:I92)</f>
        <v>0</v>
      </c>
      <c r="C92" s="295">
        <f>IF(C70=0,0,IF(AND(C114&gt;0,C54&lt;=400),0,IF(AND(C114&gt;0,EingabenÄnderungen!C141=0),0,IF(AND(C120=EingabenÄnderungen!C187,C61&gt;0,EingabenÄnderungen!C187&gt;0),0,C91))))</f>
        <v>0</v>
      </c>
      <c r="D92" s="295">
        <f>IF(D70=0,0,IF(AND(D114&gt;0,D54&lt;=400),0,IF(AND(D114&gt;0,EingabenÄnderungen!D141=0),0,IF(AND(D120=EingabenÄnderungen!D187,D61&gt;0,EingabenÄnderungen!D187&gt;0),0,D91))))</f>
        <v>0</v>
      </c>
      <c r="E92" s="295">
        <f>IF(E70=0,0,IF(AND(E114&gt;0,E54&lt;=400),0,IF(AND(E114&gt;0,EingabenÄnderungen!E141=0),0,IF(AND(E120=EingabenÄnderungen!E187,E61&gt;0,EingabenÄnderungen!E187&gt;0),0,E91))))</f>
        <v>0</v>
      </c>
      <c r="F92" s="295">
        <f>IF(F70=0,0,IF(AND(F114&gt;0,F54&lt;=400),0,IF(AND(F114&gt;0,EingabenÄnderungen!F141=0),0,IF(AND(F120=EingabenÄnderungen!F187,F61&gt;0,EingabenÄnderungen!F187&gt;0),0,F91))))</f>
        <v>0</v>
      </c>
      <c r="G92" s="295">
        <f>IF(G70=0,0,IF(AND(G114&gt;0,G54&lt;=400),0,IF(AND(G114&gt;0,EingabenÄnderungen!G141=0),0,IF(AND(G120=EingabenÄnderungen!G187,G61&gt;0,EingabenÄnderungen!G187&gt;0),0,G91))))</f>
        <v>0</v>
      </c>
      <c r="H92" s="295">
        <f>IF(H70=0,0,IF(AND(H114&gt;0,H54&lt;=400),0,IF(AND(H114&gt;0,EingabenÄnderungen!H141=0),0,IF(AND(H120=EingabenÄnderungen!H187,H61&gt;0,EingabenÄnderungen!H187&gt;0),0,H91))))</f>
        <v>0</v>
      </c>
      <c r="I92" s="296">
        <f>IF(I70=0,0,IF(AND(I114&gt;0,I54&lt;=400),0,IF(AND(I114&gt;0,EingabenÄnderungen!I141=0),0,IF(AND(I120=EingabenÄnderungen!I187,I61&gt;0,EingabenÄnderungen!I187&gt;0),0,I91))))</f>
        <v>0</v>
      </c>
    </row>
    <row r="93" spans="1:9" s="217" customFormat="1" ht="16.5" hidden="1" customHeight="1">
      <c r="A93" s="408"/>
      <c r="B93" s="128"/>
      <c r="C93" s="128">
        <f>IF(AND(EingabenÄnderungen!C160&gt;0,EingabenÄnderungen!C163=EingabenÄnderungen!C160),0,EingabenÄnderungen!C127)</f>
        <v>0</v>
      </c>
      <c r="D93" s="128">
        <f>IF(AND(EingabenÄnderungen!D160&gt;0,EingabenÄnderungen!D163=EingabenÄnderungen!D160),0,EingabenÄnderungen!D127)</f>
        <v>0</v>
      </c>
      <c r="E93" s="128">
        <f>IF(AND(EingabenÄnderungen!E160&gt;0,EingabenÄnderungen!E163=EingabenÄnderungen!E160),0,EingabenÄnderungen!E127)</f>
        <v>0</v>
      </c>
      <c r="F93" s="128">
        <f>IF(AND(EingabenÄnderungen!F160&gt;0,EingabenÄnderungen!F163=EingabenÄnderungen!F160),0,EingabenÄnderungen!F127)</f>
        <v>0</v>
      </c>
      <c r="G93" s="128">
        <f>IF(AND(EingabenÄnderungen!G160&gt;0,EingabenÄnderungen!G163=EingabenÄnderungen!G160),0,EingabenÄnderungen!G127)</f>
        <v>0</v>
      </c>
      <c r="H93" s="128">
        <f>IF(AND(EingabenÄnderungen!H160&gt;0,EingabenÄnderungen!H163=EingabenÄnderungen!H160),0,EingabenÄnderungen!H127)</f>
        <v>0</v>
      </c>
      <c r="I93" s="190">
        <f>IF(AND(EingabenÄnderungen!I160&gt;0,EingabenÄnderungen!I163=EingabenÄnderungen!I160),0,EingabenÄnderungen!I127)</f>
        <v>0</v>
      </c>
    </row>
    <row r="94" spans="1:9" s="217" customFormat="1" ht="16.5" hidden="1" customHeight="1">
      <c r="A94" s="613"/>
      <c r="B94" s="128"/>
      <c r="C94" s="128">
        <f>IF(AND(EingabenÄnderungen!C212&gt;C113,C78&lt;&gt;EingabenÄnderungen!C127),C93,0)</f>
        <v>0</v>
      </c>
      <c r="D94" s="128">
        <f>IF(AND(EingabenÄnderungen!D212&gt;D113,D78&lt;&gt;EingabenÄnderungen!D127),D93,0)</f>
        <v>0</v>
      </c>
      <c r="E94" s="128">
        <f>IF(AND(EingabenÄnderungen!E212&gt;E113,E78&lt;&gt;EingabenÄnderungen!E127),E93,0)</f>
        <v>0</v>
      </c>
      <c r="F94" s="128">
        <f>IF(AND(EingabenÄnderungen!F212&gt;F113,F78&lt;&gt;EingabenÄnderungen!F127),F93,0)</f>
        <v>0</v>
      </c>
      <c r="G94" s="128">
        <f>IF(AND(EingabenÄnderungen!G212&gt;G113,G78&lt;&gt;EingabenÄnderungen!G127),G93,0)</f>
        <v>0</v>
      </c>
      <c r="H94" s="128">
        <f>IF(AND(EingabenÄnderungen!H212&gt;H113,H78&lt;&gt;EingabenÄnderungen!H127),H93,0)</f>
        <v>0</v>
      </c>
      <c r="I94" s="190">
        <f>IF(AND(EingabenÄnderungen!I212&gt;I113,I78&lt;&gt;EingabenÄnderungen!I127),I93,0)</f>
        <v>0</v>
      </c>
    </row>
    <row r="95" spans="1:9" s="217" customFormat="1" ht="16.5" hidden="1" customHeight="1">
      <c r="A95" s="408"/>
      <c r="B95" s="128"/>
      <c r="C95" s="128">
        <f>IF(C113=0,EingabenÄnderungen!C127,0)</f>
        <v>0</v>
      </c>
      <c r="D95" s="128">
        <f>IF(D113=0,EingabenÄnderungen!D127,0)</f>
        <v>0</v>
      </c>
      <c r="E95" s="128">
        <f>IF(E113=0,EingabenÄnderungen!E127,0)</f>
        <v>0</v>
      </c>
      <c r="F95" s="128">
        <f>IF(F113=0,EingabenÄnderungen!F127,0)</f>
        <v>0</v>
      </c>
      <c r="G95" s="128">
        <f>IF(G113=0,EingabenÄnderungen!G127,0)</f>
        <v>0</v>
      </c>
      <c r="H95" s="128">
        <f>IF(H113=0,EingabenÄnderungen!H127,0)</f>
        <v>0</v>
      </c>
      <c r="I95" s="190">
        <f>IF(I113=0,EingabenÄnderungen!I127,0)</f>
        <v>0</v>
      </c>
    </row>
    <row r="96" spans="1:9" s="217" customFormat="1" ht="16.5" hidden="1" customHeight="1">
      <c r="A96" s="408"/>
      <c r="B96" s="128"/>
      <c r="C96" s="128">
        <f>IF(C95=EingabenÄnderungen!C127,C95,C94)</f>
        <v>0</v>
      </c>
      <c r="D96" s="128">
        <f>IF(D95=EingabenÄnderungen!D127,D95,D94)</f>
        <v>0</v>
      </c>
      <c r="E96" s="128">
        <f>IF(E95=EingabenÄnderungen!E127,E95,E94)</f>
        <v>0</v>
      </c>
      <c r="F96" s="128">
        <f>IF(F95=EingabenÄnderungen!F127,F95,F94)</f>
        <v>0</v>
      </c>
      <c r="G96" s="128">
        <f>IF(G95=EingabenÄnderungen!G127,G95,G94)</f>
        <v>0</v>
      </c>
      <c r="H96" s="128">
        <f>IF(H95=EingabenÄnderungen!H127,H95,H94)</f>
        <v>0</v>
      </c>
      <c r="I96" s="190">
        <f>IF(I95=EingabenÄnderungen!I127,I95,I94)</f>
        <v>0</v>
      </c>
    </row>
    <row r="97" spans="1:9" s="217" customFormat="1" ht="16.5" hidden="1" customHeight="1">
      <c r="A97" s="613"/>
      <c r="B97" s="128"/>
      <c r="C97" s="128">
        <f>IF(EingabenÄnderungen!C140=0,0,C96)</f>
        <v>0</v>
      </c>
      <c r="D97" s="128">
        <f>IF(EingabenÄnderungen!D140=0,0,D96)</f>
        <v>0</v>
      </c>
      <c r="E97" s="128">
        <f>IF(EingabenÄnderungen!E140=0,0,E96)</f>
        <v>0</v>
      </c>
      <c r="F97" s="128">
        <f>IF(EingabenÄnderungen!F140=0,0,F96)</f>
        <v>0</v>
      </c>
      <c r="G97" s="128">
        <f>IF(EingabenÄnderungen!G140=0,0,G96)</f>
        <v>0</v>
      </c>
      <c r="H97" s="128">
        <f>IF(EingabenÄnderungen!H140=0,0,H96)</f>
        <v>0</v>
      </c>
      <c r="I97" s="190">
        <f>IF(EingabenÄnderungen!I140=0,0,I96)</f>
        <v>0</v>
      </c>
    </row>
    <row r="98" spans="1:9" s="217" customFormat="1">
      <c r="A98" s="408">
        <f>IF(B98&gt;0,"./. Fahrtkosten",0)</f>
        <v>0</v>
      </c>
      <c r="B98" s="284">
        <f>SUM(C98:I98)</f>
        <v>0</v>
      </c>
      <c r="C98" s="295">
        <f t="shared" ref="C98:I98" si="10">IF(AND(C114&gt;0,C54&lt;=400),0,IF(C75&lt;0,C97+C75,IF(C70=0,0,C97)))</f>
        <v>0</v>
      </c>
      <c r="D98" s="295">
        <f t="shared" si="10"/>
        <v>0</v>
      </c>
      <c r="E98" s="295">
        <f t="shared" si="10"/>
        <v>0</v>
      </c>
      <c r="F98" s="295">
        <f t="shared" si="10"/>
        <v>0</v>
      </c>
      <c r="G98" s="295">
        <f t="shared" si="10"/>
        <v>0</v>
      </c>
      <c r="H98" s="295">
        <f t="shared" si="10"/>
        <v>0</v>
      </c>
      <c r="I98" s="296">
        <f t="shared" si="10"/>
        <v>0</v>
      </c>
    </row>
    <row r="99" spans="1:9" s="217" customFormat="1" ht="16.5" hidden="1" customHeight="1">
      <c r="A99" s="408"/>
      <c r="B99" s="62"/>
      <c r="C99" s="128">
        <f>IF(AND(EingabenÄnderungen!C160&gt;0,EingabenÄnderungen!C163=EingabenÄnderungen!C160),0,EingabenÄnderungen!C124)</f>
        <v>0</v>
      </c>
      <c r="D99" s="128">
        <f>IF(AND(EingabenÄnderungen!D160&gt;0,EingabenÄnderungen!D163=EingabenÄnderungen!D160),0,EingabenÄnderungen!D124)</f>
        <v>0</v>
      </c>
      <c r="E99" s="128">
        <f>IF(AND(EingabenÄnderungen!E160&gt;0,EingabenÄnderungen!E163=EingabenÄnderungen!E160),0,EingabenÄnderungen!E124)</f>
        <v>0</v>
      </c>
      <c r="F99" s="128">
        <f>IF(AND(EingabenÄnderungen!F160&gt;0,EingabenÄnderungen!F163=EingabenÄnderungen!F160),0,EingabenÄnderungen!F124)</f>
        <v>0</v>
      </c>
      <c r="G99" s="128">
        <f>IF(AND(EingabenÄnderungen!G160&gt;0,EingabenÄnderungen!G163=EingabenÄnderungen!G160),0,EingabenÄnderungen!G124)</f>
        <v>0</v>
      </c>
      <c r="H99" s="128">
        <f>IF(AND(EingabenÄnderungen!H160&gt;0,EingabenÄnderungen!H163=EingabenÄnderungen!H160),0,EingabenÄnderungen!H124)</f>
        <v>0</v>
      </c>
      <c r="I99" s="190">
        <f>IF(AND(EingabenÄnderungen!I160&gt;0,EingabenÄnderungen!I163=EingabenÄnderungen!I160),0,EingabenÄnderungen!I124)</f>
        <v>0</v>
      </c>
    </row>
    <row r="100" spans="1:9" s="217" customFormat="1" ht="16.5" hidden="1" customHeight="1">
      <c r="A100" s="613"/>
      <c r="B100" s="62"/>
      <c r="C100" s="128">
        <f>IF(AND(EingabenÄnderungen!C212&gt;C113,C78&lt;&gt;EingabenÄnderungen!C124),C99,0)</f>
        <v>0</v>
      </c>
      <c r="D100" s="128">
        <f>IF(AND(EingabenÄnderungen!D212&gt;D113,D78&lt;&gt;EingabenÄnderungen!D124),D99,0)</f>
        <v>0</v>
      </c>
      <c r="E100" s="128">
        <f>IF(AND(EingabenÄnderungen!E212&gt;E113,E78&lt;&gt;EingabenÄnderungen!E124),E99,0)</f>
        <v>0</v>
      </c>
      <c r="F100" s="128">
        <f>IF(AND(EingabenÄnderungen!F212&gt;F113,F78&lt;&gt;EingabenÄnderungen!F124),F99,0)</f>
        <v>0</v>
      </c>
      <c r="G100" s="128">
        <f>IF(AND(EingabenÄnderungen!G212&gt;G113,G78&lt;&gt;EingabenÄnderungen!G124),G99,0)</f>
        <v>0</v>
      </c>
      <c r="H100" s="128">
        <f>IF(AND(EingabenÄnderungen!H212&gt;H113,H78&lt;&gt;EingabenÄnderungen!H124),H99,0)</f>
        <v>0</v>
      </c>
      <c r="I100" s="190">
        <f>IF(AND(EingabenÄnderungen!I212&gt;I113,I78&lt;&gt;EingabenÄnderungen!I124),I99,0)</f>
        <v>0</v>
      </c>
    </row>
    <row r="101" spans="1:9" s="217" customFormat="1" ht="16.5" hidden="1" customHeight="1">
      <c r="A101" s="408"/>
      <c r="B101" s="62"/>
      <c r="C101" s="128">
        <f>IF(C113=0,EingabenÄnderungen!C124,0)</f>
        <v>0</v>
      </c>
      <c r="D101" s="128">
        <f>IF(D113=0,EingabenÄnderungen!D124,0)</f>
        <v>0</v>
      </c>
      <c r="E101" s="128">
        <f>IF(E113=0,EingabenÄnderungen!E124,0)</f>
        <v>0</v>
      </c>
      <c r="F101" s="128">
        <f>IF(F113=0,EingabenÄnderungen!F124,0)</f>
        <v>0</v>
      </c>
      <c r="G101" s="128">
        <f>IF(G113=0,EingabenÄnderungen!G124,0)</f>
        <v>0</v>
      </c>
      <c r="H101" s="128">
        <f>IF(H113=0,EingabenÄnderungen!H124,0)</f>
        <v>0</v>
      </c>
      <c r="I101" s="190">
        <f>IF(I113=0,EingabenÄnderungen!I124,0)</f>
        <v>0</v>
      </c>
    </row>
    <row r="102" spans="1:9" s="217" customFormat="1" ht="16.5" hidden="1" customHeight="1">
      <c r="A102" s="408"/>
      <c r="B102" s="62"/>
      <c r="C102" s="128">
        <f>IF(C101=EingabenÄnderungen!C124,C101,C99)</f>
        <v>0</v>
      </c>
      <c r="D102" s="128">
        <f>IF(D101=EingabenÄnderungen!D124,D101,D99)</f>
        <v>0</v>
      </c>
      <c r="E102" s="128">
        <f>IF(E101=EingabenÄnderungen!E124,E101,E99)</f>
        <v>0</v>
      </c>
      <c r="F102" s="128">
        <f>IF(F101=EingabenÄnderungen!F124,F101,F99)</f>
        <v>0</v>
      </c>
      <c r="G102" s="128">
        <f>IF(G101=EingabenÄnderungen!G124,G101,G99)</f>
        <v>0</v>
      </c>
      <c r="H102" s="128">
        <f>IF(H101=EingabenÄnderungen!H124,H101,H99)</f>
        <v>0</v>
      </c>
      <c r="I102" s="190">
        <f>IF(I101=EingabenÄnderungen!I124,I101,I99)</f>
        <v>0</v>
      </c>
    </row>
    <row r="103" spans="1:9" s="217" customFormat="1" ht="16.5" hidden="1" customHeight="1">
      <c r="A103" s="613"/>
      <c r="B103" s="62"/>
      <c r="C103" s="128">
        <f>IF(EingabenÄnderungen!C140=0,0,C102)</f>
        <v>0</v>
      </c>
      <c r="D103" s="128">
        <f>IF(EingabenÄnderungen!D140=0,0,D102)</f>
        <v>0</v>
      </c>
      <c r="E103" s="128">
        <f>IF(EingabenÄnderungen!E140=0,0,E102)</f>
        <v>0</v>
      </c>
      <c r="F103" s="128">
        <f>IF(EingabenÄnderungen!F140=0,0,F102)</f>
        <v>0</v>
      </c>
      <c r="G103" s="128">
        <f>IF(EingabenÄnderungen!G140=0,0,G102)</f>
        <v>0</v>
      </c>
      <c r="H103" s="128">
        <f>IF(EingabenÄnderungen!H140=0,0,H102)</f>
        <v>0</v>
      </c>
      <c r="I103" s="190">
        <f>IF(EingabenÄnderungen!I140=0,0,I102)</f>
        <v>0</v>
      </c>
    </row>
    <row r="104" spans="1:9" s="217" customFormat="1" ht="16.5" customHeight="1">
      <c r="A104" s="408">
        <f>IF(B104&gt;0,"./. Verpflegungsmehraufwand",0)</f>
        <v>0</v>
      </c>
      <c r="B104" s="284">
        <f>SUM(C104:I104)</f>
        <v>0</v>
      </c>
      <c r="C104" s="295">
        <f t="shared" ref="C104:I104" si="11">IF(AND(C114&gt;0,C54&lt;=400),0,IF(C70=0,0,C103))</f>
        <v>0</v>
      </c>
      <c r="D104" s="295">
        <f t="shared" si="11"/>
        <v>0</v>
      </c>
      <c r="E104" s="295">
        <f t="shared" si="11"/>
        <v>0</v>
      </c>
      <c r="F104" s="295">
        <f t="shared" si="11"/>
        <v>0</v>
      </c>
      <c r="G104" s="295">
        <f t="shared" si="11"/>
        <v>0</v>
      </c>
      <c r="H104" s="295">
        <f t="shared" si="11"/>
        <v>0</v>
      </c>
      <c r="I104" s="296">
        <f t="shared" si="11"/>
        <v>0</v>
      </c>
    </row>
    <row r="105" spans="1:9" s="217" customFormat="1" ht="16.5" hidden="1" customHeight="1">
      <c r="A105" s="408"/>
      <c r="B105" s="62"/>
      <c r="C105" s="128">
        <f>IF(AND(EingabenÄnderungen!C160&gt;0,EingabenÄnderungen!C163=EingabenÄnderungen!C160),0,EingabenÄnderungen!C148)</f>
        <v>0</v>
      </c>
      <c r="D105" s="128">
        <f>IF(AND(EingabenÄnderungen!D160&gt;0,EingabenÄnderungen!D163=EingabenÄnderungen!D160),0,EingabenÄnderungen!D148)</f>
        <v>0</v>
      </c>
      <c r="E105" s="128">
        <f>IF(AND(EingabenÄnderungen!E160&gt;0,EingabenÄnderungen!E163=EingabenÄnderungen!E160),0,EingabenÄnderungen!E148)</f>
        <v>0</v>
      </c>
      <c r="F105" s="128">
        <f>IF(AND(EingabenÄnderungen!F160&gt;0,EingabenÄnderungen!F163=EingabenÄnderungen!F160),0,EingabenÄnderungen!F148)</f>
        <v>0</v>
      </c>
      <c r="G105" s="128">
        <f>IF(AND(EingabenÄnderungen!G160&gt;0,EingabenÄnderungen!G163=EingabenÄnderungen!G160),0,EingabenÄnderungen!G148)</f>
        <v>0</v>
      </c>
      <c r="H105" s="128">
        <f>IF(AND(EingabenÄnderungen!H160&gt;0,EingabenÄnderungen!H163=EingabenÄnderungen!H160),0,EingabenÄnderungen!H148)</f>
        <v>0</v>
      </c>
      <c r="I105" s="190">
        <f>IF(AND(EingabenÄnderungen!I160&gt;0,EingabenÄnderungen!I163=EingabenÄnderungen!I160),0,EingabenÄnderungen!I148)</f>
        <v>0</v>
      </c>
    </row>
    <row r="106" spans="1:9" s="217" customFormat="1" ht="16.5" hidden="1" customHeight="1">
      <c r="A106" s="408"/>
      <c r="B106" s="62"/>
      <c r="C106" s="128">
        <f>IF(C113=0,EingabenÄnderungen!C148,0)</f>
        <v>0</v>
      </c>
      <c r="D106" s="128">
        <f>IF(D113=0,EingabenÄnderungen!D148,0)</f>
        <v>0</v>
      </c>
      <c r="E106" s="128">
        <f>IF(E113=0,EingabenÄnderungen!E148,0)</f>
        <v>0</v>
      </c>
      <c r="F106" s="128">
        <f>IF(F113=0,EingabenÄnderungen!F148,0)</f>
        <v>0</v>
      </c>
      <c r="G106" s="128">
        <f>IF(G113=0,EingabenÄnderungen!G148,0)</f>
        <v>0</v>
      </c>
      <c r="H106" s="128">
        <f>IF(H113=0,EingabenÄnderungen!H148,0)</f>
        <v>0</v>
      </c>
      <c r="I106" s="190">
        <f>IF(I113=0,EingabenÄnderungen!I148,0)</f>
        <v>0</v>
      </c>
    </row>
    <row r="107" spans="1:9" s="217" customFormat="1" ht="16.5" hidden="1" customHeight="1">
      <c r="A107" s="411"/>
      <c r="B107" s="62"/>
      <c r="C107" s="128">
        <f>IF(C106&gt;0,C106,C105)</f>
        <v>0</v>
      </c>
      <c r="D107" s="128">
        <f t="shared" ref="D107:I107" si="12">IF(D106&gt;0,D106,D105)</f>
        <v>0</v>
      </c>
      <c r="E107" s="128">
        <f t="shared" si="12"/>
        <v>0</v>
      </c>
      <c r="F107" s="128">
        <f t="shared" si="12"/>
        <v>0</v>
      </c>
      <c r="G107" s="128">
        <f t="shared" si="12"/>
        <v>0</v>
      </c>
      <c r="H107" s="128">
        <f t="shared" si="12"/>
        <v>0</v>
      </c>
      <c r="I107" s="190">
        <f t="shared" si="12"/>
        <v>0</v>
      </c>
    </row>
    <row r="108" spans="1:9" s="217" customFormat="1">
      <c r="A108" s="409">
        <f>IF(B108&gt;0,"./. Werbungskosten bei Erwerbstätigkeit",0)</f>
        <v>0</v>
      </c>
      <c r="B108" s="284">
        <f>SUM(C108:I108)</f>
        <v>0</v>
      </c>
      <c r="C108" s="128">
        <f>IF(AND(C114&gt;0,C54&lt;=400),0,IF(AND(C58&gt;200,EingabenÄnderungen!C158&gt;EingabenÄnderungen!C156),EingabenÄnderungen!C147,IF(AND($A$57="Gewinn aus selbständiger Tätigkeit",C57&gt;0),0,IF(AND(C54&lt;100,C58&lt;200,C69&gt;0),0,C107))))</f>
        <v>0</v>
      </c>
      <c r="D108" s="128">
        <f>IF(AND(D114&gt;0,D54&lt;=400),0,IF(AND(D58&gt;200,EingabenÄnderungen!D158&gt;EingabenÄnderungen!D156),EingabenÄnderungen!D147,IF(AND($A$57="Gewinn aus selbständiger Tätigkeit",D57&gt;0),0,IF(AND(D54&lt;100,D58&lt;200,D69&gt;0),0,D107))))</f>
        <v>0</v>
      </c>
      <c r="E108" s="128">
        <f>IF(AND(E114&gt;0,E54&lt;=400),0,IF(AND(E58&gt;200,EingabenÄnderungen!E158&gt;EingabenÄnderungen!E156),EingabenÄnderungen!E147,IF(AND($A$57="Gewinn aus selbständiger Tätigkeit",E57&gt;0),0,IF(AND(E54&lt;100,E58&lt;200,E69&gt;0),0,E107))))</f>
        <v>0</v>
      </c>
      <c r="F108" s="128">
        <f>IF(AND(F114&gt;0,F54&lt;=400),0,IF(AND(F58&gt;200,EingabenÄnderungen!F158&gt;EingabenÄnderungen!F156),EingabenÄnderungen!F147,IF(AND($A$57="Gewinn aus selbständiger Tätigkeit",F57&gt;0),0,IF(AND(F54&lt;100,F58&lt;200,F69&gt;0),0,F107))))</f>
        <v>0</v>
      </c>
      <c r="G108" s="128">
        <f>IF(AND(G114&gt;0,G54&lt;=400),0,IF(AND(G58&gt;200,EingabenÄnderungen!G158&gt;EingabenÄnderungen!G156),EingabenÄnderungen!G147,IF(AND($A$57="Gewinn aus selbständiger Tätigkeit",G57&gt;0),0,IF(AND(G54&lt;100,G58&lt;200,G69&gt;0),0,G107))))</f>
        <v>0</v>
      </c>
      <c r="H108" s="128">
        <f>IF(AND(H114&gt;0,H54&lt;=400),0,IF(AND(H58&gt;200,EingabenÄnderungen!H158&gt;EingabenÄnderungen!H156),EingabenÄnderungen!H147,IF(AND($A$57="Gewinn aus selbständiger Tätigkeit",H57&gt;0),0,IF(AND(H54&lt;100,H58&lt;200,H69&gt;0),0,H107))))</f>
        <v>0</v>
      </c>
      <c r="I108" s="190">
        <f>IF(AND(I114&gt;0,I54&lt;=400),0,IF(AND(I58&gt;200,EingabenÄnderungen!I158&gt;EingabenÄnderungen!I156),EingabenÄnderungen!I147,IF(AND($A$57="Gewinn aus selbständiger Tätigkeit",I57&gt;0),0,IF(AND(I54&lt;100,I58&lt;200,I69&gt;0),0,I107))))</f>
        <v>0</v>
      </c>
    </row>
    <row r="109" spans="1:9" s="217" customFormat="1">
      <c r="A109" s="409">
        <f>IF(B109&gt;0,"./. notwendige Ausgaben",0)</f>
        <v>0</v>
      </c>
      <c r="B109" s="284">
        <f>SUM(C109:I109)</f>
        <v>0</v>
      </c>
      <c r="C109" s="128">
        <f>EingabenÄnderungen!C215</f>
        <v>0</v>
      </c>
      <c r="D109" s="128">
        <f>EingabenÄnderungen!D215</f>
        <v>0</v>
      </c>
      <c r="E109" s="128">
        <f>EingabenÄnderungen!E215</f>
        <v>0</v>
      </c>
      <c r="F109" s="128">
        <f>EingabenÄnderungen!F215</f>
        <v>0</v>
      </c>
      <c r="G109" s="128">
        <f>EingabenÄnderungen!G215</f>
        <v>0</v>
      </c>
      <c r="H109" s="128">
        <f>EingabenÄnderungen!H215</f>
        <v>0</v>
      </c>
      <c r="I109" s="190">
        <f>EingabenÄnderungen!I215</f>
        <v>0</v>
      </c>
    </row>
    <row r="110" spans="1:9" s="217" customFormat="1" ht="16.5" hidden="1" customHeight="1">
      <c r="A110" s="411"/>
      <c r="B110" s="62"/>
      <c r="C110" s="62">
        <f>IF(EingabenÄnderungen!C160&gt;200,0,EingabenÄnderungen!C160)</f>
        <v>0</v>
      </c>
      <c r="D110" s="62">
        <f>IF(EingabenÄnderungen!D160&gt;200,0,EingabenÄnderungen!D160)</f>
        <v>0</v>
      </c>
      <c r="E110" s="62">
        <f>IF(EingabenÄnderungen!E160&gt;200,0,EingabenÄnderungen!E160)</f>
        <v>0</v>
      </c>
      <c r="F110" s="62">
        <f>IF(EingabenÄnderungen!F160&gt;200,0,EingabenÄnderungen!F160)</f>
        <v>0</v>
      </c>
      <c r="G110" s="62">
        <f>IF(EingabenÄnderungen!G160&gt;200,0,EingabenÄnderungen!G160)</f>
        <v>0</v>
      </c>
      <c r="H110" s="62">
        <f>IF(EingabenÄnderungen!H160&gt;200,0,EingabenÄnderungen!H160)</f>
        <v>0</v>
      </c>
      <c r="I110" s="110">
        <f>IF(EingabenÄnderungen!I160&gt;200,0,EingabenÄnderungen!I160)</f>
        <v>0</v>
      </c>
    </row>
    <row r="111" spans="1:9" s="217" customFormat="1" ht="16.5" hidden="1" customHeight="1">
      <c r="A111" s="411"/>
      <c r="B111" s="62"/>
      <c r="C111" s="62">
        <f>IF(AND(EingabenÄnderungen!C131+EingabenÄnderungen!C139&gt;400,EingabenÄnderungen!C159&gt;100,EingabenÄnderungen!C138&gt;0,EingabenÄnderungen!C158+100&gt;EingabenÄnderungen!C159),EingabenÄnderungen!C158+100,IF(OR(EingabenÄnderungen!C152&gt;100,EingabenÄnderungen!C155&gt;100),0,IF(AND(EingabenÄnderungen!C178&gt;0,EingabenÄnderungen!C189&gt;100+EingabenÄnderungen!C188),0,C110)))</f>
        <v>0</v>
      </c>
      <c r="D111" s="62">
        <f>IF(AND(EingabenÄnderungen!D131+EingabenÄnderungen!D139&gt;400,EingabenÄnderungen!D159&gt;100,EingabenÄnderungen!D138&gt;0,EingabenÄnderungen!D158+100&gt;EingabenÄnderungen!D159),EingabenÄnderungen!D158+100,IF(OR(EingabenÄnderungen!D152&gt;100,EingabenÄnderungen!D155&gt;100),0,IF(AND(EingabenÄnderungen!D178&gt;0,EingabenÄnderungen!D189&gt;100+EingabenÄnderungen!D188),0,D110)))</f>
        <v>0</v>
      </c>
      <c r="E111" s="62">
        <f>IF(AND(EingabenÄnderungen!E131+EingabenÄnderungen!E139&gt;400,EingabenÄnderungen!E159&gt;100,EingabenÄnderungen!E138&gt;0,EingabenÄnderungen!E158+100&gt;EingabenÄnderungen!E159),EingabenÄnderungen!E158+100,IF(OR(EingabenÄnderungen!E152&gt;100,EingabenÄnderungen!E155&gt;100),0,IF(AND(EingabenÄnderungen!E178&gt;0,EingabenÄnderungen!E189&gt;100+EingabenÄnderungen!E188),0,E110)))</f>
        <v>0</v>
      </c>
      <c r="F111" s="62">
        <f>IF(AND(EingabenÄnderungen!F131+EingabenÄnderungen!F139&gt;400,EingabenÄnderungen!F159&gt;100,EingabenÄnderungen!F138&gt;0,EingabenÄnderungen!F158+100&gt;EingabenÄnderungen!F159),EingabenÄnderungen!F158+100,IF(OR(EingabenÄnderungen!F152&gt;100,EingabenÄnderungen!F155&gt;100),0,IF(AND(EingabenÄnderungen!F178&gt;0,EingabenÄnderungen!F189&gt;100+EingabenÄnderungen!F188),0,F110)))</f>
        <v>0</v>
      </c>
      <c r="G111" s="62">
        <f>IF(AND(EingabenÄnderungen!G131+EingabenÄnderungen!G139&gt;400,EingabenÄnderungen!G159&gt;100,EingabenÄnderungen!G138&gt;0,EingabenÄnderungen!G158+100&gt;EingabenÄnderungen!G159),EingabenÄnderungen!G158+100,IF(OR(EingabenÄnderungen!G152&gt;100,EingabenÄnderungen!G155&gt;100),0,IF(AND(EingabenÄnderungen!G178&gt;0,EingabenÄnderungen!G189&gt;100+EingabenÄnderungen!G188),0,G110)))</f>
        <v>0</v>
      </c>
      <c r="H111" s="62">
        <f>IF(AND(EingabenÄnderungen!H131+EingabenÄnderungen!H139&gt;400,EingabenÄnderungen!H159&gt;100,EingabenÄnderungen!H138&gt;0,EingabenÄnderungen!H158+100&gt;EingabenÄnderungen!H159),EingabenÄnderungen!H158+100,IF(OR(EingabenÄnderungen!H152&gt;100,EingabenÄnderungen!H155&gt;100),0,IF(AND(EingabenÄnderungen!H178&gt;0,EingabenÄnderungen!H189&gt;100+EingabenÄnderungen!H188),0,H110)))</f>
        <v>0</v>
      </c>
      <c r="I111" s="110">
        <f>IF(AND(EingabenÄnderungen!I131+EingabenÄnderungen!I139&gt;400,EingabenÄnderungen!I159&gt;100,EingabenÄnderungen!I138&gt;0,EingabenÄnderungen!I158+100&gt;EingabenÄnderungen!I159),EingabenÄnderungen!I158+100,IF(OR(EingabenÄnderungen!I152&gt;100,EingabenÄnderungen!I155&gt;100),0,IF(AND(EingabenÄnderungen!I178&gt;0,EingabenÄnderungen!I189&gt;100+EingabenÄnderungen!I188),0,I110)))</f>
        <v>0</v>
      </c>
    </row>
    <row r="112" spans="1:9" s="217" customFormat="1" ht="16.5" hidden="1" customHeight="1">
      <c r="A112" s="411"/>
      <c r="B112" s="62"/>
      <c r="C112" s="62">
        <f>IF(OR(EingabenÄnderungen!C160=100,EingabenÄnderungen!C160=200),EingabenÄnderungen!C160,C111)</f>
        <v>0</v>
      </c>
      <c r="D112" s="62">
        <f>IF(OR(EingabenÄnderungen!D160=100,EingabenÄnderungen!D160=200),EingabenÄnderungen!D160,D111)</f>
        <v>0</v>
      </c>
      <c r="E112" s="62">
        <f>IF(OR(EingabenÄnderungen!E160=100,EingabenÄnderungen!E160=200),EingabenÄnderungen!E160,E111)</f>
        <v>0</v>
      </c>
      <c r="F112" s="62">
        <f>IF(OR(EingabenÄnderungen!F160=100,EingabenÄnderungen!F160=200),EingabenÄnderungen!F160,F111)</f>
        <v>0</v>
      </c>
      <c r="G112" s="62">
        <f>IF(OR(EingabenÄnderungen!G160=100,EingabenÄnderungen!G160=200),EingabenÄnderungen!G160,G111)</f>
        <v>0</v>
      </c>
      <c r="H112" s="62">
        <f>IF(OR(EingabenÄnderungen!H160=100,EingabenÄnderungen!H160=200),EingabenÄnderungen!H160,H111)</f>
        <v>0</v>
      </c>
      <c r="I112" s="110">
        <f>IF(OR(EingabenÄnderungen!I160=100,EingabenÄnderungen!I160=200),EingabenÄnderungen!I160,I111)</f>
        <v>0</v>
      </c>
    </row>
    <row r="113" spans="1:9" s="217" customFormat="1" ht="16.5" customHeight="1">
      <c r="A113" s="408">
        <f>IF(B113&gt;0,"./. Grundfreibetrag Lohn / Ehrenamt",0)</f>
        <v>0</v>
      </c>
      <c r="B113" s="284">
        <f>SUM(C113:I113)</f>
        <v>0</v>
      </c>
      <c r="C113" s="62">
        <f>IF(AND(EingabenÄnderungen!C178&gt;0,EingabenÄnderungen!C178&lt;EingabenÄnderungen!C189),C112,IF(AND(EingabenÄnderungen!C178&gt;0,C111=0,EingabenÄnderungen!C189&gt;100),0,IF(C110&lt;100,C110,C112)))</f>
        <v>0</v>
      </c>
      <c r="D113" s="62">
        <f>IF(AND(EingabenÄnderungen!D178&gt;0,EingabenÄnderungen!D178&lt;EingabenÄnderungen!D189),D112,IF(AND(EingabenÄnderungen!D178&gt;0,D111=0,EingabenÄnderungen!D189&gt;100),0,IF(D110&lt;100,D110,D112)))</f>
        <v>0</v>
      </c>
      <c r="E113" s="62">
        <f>IF(AND(EingabenÄnderungen!E178&gt;0,EingabenÄnderungen!E178&lt;EingabenÄnderungen!E189),E112,IF(AND(EingabenÄnderungen!E178&gt;0,E111=0,EingabenÄnderungen!E189&gt;100),0,IF(E110&lt;100,E110,E112)))</f>
        <v>0</v>
      </c>
      <c r="F113" s="62">
        <f>IF(AND(EingabenÄnderungen!F178&gt;0,EingabenÄnderungen!F178&lt;EingabenÄnderungen!F189),F112,IF(AND(EingabenÄnderungen!F178&gt;0,F111=0,EingabenÄnderungen!F189&gt;100),0,IF(F110&lt;100,F110,F112)))</f>
        <v>0</v>
      </c>
      <c r="G113" s="62">
        <f>IF(AND(EingabenÄnderungen!G178&gt;0,EingabenÄnderungen!G178&lt;EingabenÄnderungen!G189),G112,IF(AND(EingabenÄnderungen!G178&gt;0,G111=0,EingabenÄnderungen!G189&gt;100),0,IF(G110&lt;100,G110,G112)))</f>
        <v>0</v>
      </c>
      <c r="H113" s="62">
        <f>IF(AND(EingabenÄnderungen!H178&gt;0,EingabenÄnderungen!H178&lt;EingabenÄnderungen!H189),H112,IF(AND(EingabenÄnderungen!H178&gt;0,H111=0,EingabenÄnderungen!H189&gt;100),0,IF(H110&lt;100,H110,H112)))</f>
        <v>0</v>
      </c>
      <c r="I113" s="110">
        <f>IF(AND(EingabenÄnderungen!I178&gt;0,EingabenÄnderungen!I178&lt;EingabenÄnderungen!I189),I112,IF(AND(EingabenÄnderungen!I178&gt;0,I111=0,EingabenÄnderungen!I189&gt;100),0,IF(I110&lt;100,I110,I112)))</f>
        <v>0</v>
      </c>
    </row>
    <row r="114" spans="1:9" s="217" customFormat="1" ht="16.5" customHeight="1">
      <c r="A114" s="408">
        <f>IF(B114&gt;0,"./. Freibetrag Freiwilligendienste",0)</f>
        <v>0</v>
      </c>
      <c r="B114" s="284">
        <f t="shared" ref="B114:B120" si="13">SUM(C114:I114)</f>
        <v>0</v>
      </c>
      <c r="C114" s="62">
        <f>EingabenÄnderungen!C171</f>
        <v>0</v>
      </c>
      <c r="D114" s="62">
        <f>EingabenÄnderungen!D171</f>
        <v>0</v>
      </c>
      <c r="E114" s="62">
        <f>EingabenÄnderungen!E171</f>
        <v>0</v>
      </c>
      <c r="F114" s="62">
        <f>EingabenÄnderungen!F171</f>
        <v>0</v>
      </c>
      <c r="G114" s="62">
        <f>EingabenÄnderungen!G171</f>
        <v>0</v>
      </c>
      <c r="H114" s="62">
        <f>EingabenÄnderungen!H171</f>
        <v>0</v>
      </c>
      <c r="I114" s="110">
        <f>EingabenÄnderungen!I171</f>
        <v>0</v>
      </c>
    </row>
    <row r="115" spans="1:9" s="217" customFormat="1" ht="16.5" hidden="1" customHeight="1">
      <c r="A115" s="408"/>
      <c r="B115" s="62"/>
      <c r="C115" s="62">
        <f>IF(AND(EingabenÄnderungen!C195&gt;0,C58=0),C54*30%,IF(AND(EingabenÄnderungen!C34="nein",C58=0),C54*30%,0))</f>
        <v>0</v>
      </c>
      <c r="D115" s="62">
        <f>IF(AND(EingabenÄnderungen!D195&gt;0,D58=0),D54*30%,IF(AND(EingabenÄnderungen!D34="nein",D58=0),D54*30%,0))</f>
        <v>0</v>
      </c>
      <c r="E115" s="62">
        <f>IF(AND(EingabenÄnderungen!E18&gt;14,EingabenÄnderungen!E34="nein",E58=0),E54*30%,0)</f>
        <v>0</v>
      </c>
      <c r="F115" s="62">
        <f>IF(AND(EingabenÄnderungen!F18&gt;14,EingabenÄnderungen!F34="nein",F58=0),F54*30%,0)</f>
        <v>0</v>
      </c>
      <c r="G115" s="62">
        <f>IF(AND(EingabenÄnderungen!G18&gt;14,EingabenÄnderungen!G34="nein",G58=0),G54*30%,0)</f>
        <v>0</v>
      </c>
      <c r="H115" s="62">
        <f>IF(AND(EingabenÄnderungen!H18&gt;14,EingabenÄnderungen!H34="nein",H58=0),H54*30%,0)</f>
        <v>0</v>
      </c>
      <c r="I115" s="110">
        <f>IF(AND(EingabenÄnderungen!I18&gt;14,EingabenÄnderungen!I34="nein",I58=0),I54*30%,0)</f>
        <v>0</v>
      </c>
    </row>
    <row r="116" spans="1:9" s="217" customFormat="1" ht="16.5" hidden="1" customHeight="1">
      <c r="A116" s="408"/>
      <c r="B116" s="62"/>
      <c r="C116" s="62">
        <f>IF(AND(EingabenÄnderungen!C195&gt;0,C115=0,C58&gt;0),0,IF(AND(EingabenÄnderungen!C34="nein",C115=0,C58&gt;0),0,IF(C115&gt;0,MIN(C115,Zusatzeingaben!$C$233*50%),D205)))</f>
        <v>0</v>
      </c>
      <c r="D116" s="62">
        <f>IF(AND(EingabenÄnderungen!D195&gt;0,D115=0,D58&gt;0),0,IF(AND(EingabenÄnderungen!D34="nein",D115=0,D58&gt;0),0,IF(D115&gt;0,MIN(D115,Zusatzeingaben!$C$233*50%),D210)))</f>
        <v>0</v>
      </c>
      <c r="E116" s="62">
        <f>IF(AND(EingabenÄnderungen!E18&gt;14,EingabenÄnderungen!E34="nein",E115=0,E58&gt;0),0,IF(EingabenÄnderungen!E18&lt;15,0,IF(E115&gt;0,MIN(E115,Zusatzeingaben!$C$233*50%),D215)))</f>
        <v>0</v>
      </c>
      <c r="F116" s="62">
        <f>IF(AND(EingabenÄnderungen!F18&gt;14,EingabenÄnderungen!F34="nein",F115=0,F58&gt;0),0,IF(EingabenÄnderungen!F18&lt;15,0,IF(F115&gt;0,MIN(F115,Zusatzeingaben!$C$233*50%),D220)))</f>
        <v>0</v>
      </c>
      <c r="G116" s="62">
        <f>IF(AND(EingabenÄnderungen!G18&gt;14,EingabenÄnderungen!G34="nein",G115=0,G58&gt;0),0,IF(EingabenÄnderungen!G18&lt;15,0,IF(G115&gt;0,MIN(G115,Zusatzeingaben!$C$233*50%),D225)))</f>
        <v>0</v>
      </c>
      <c r="H116" s="62">
        <f>IF(AND(EingabenÄnderungen!H18&gt;14,EingabenÄnderungen!H34="nein",H115=0,H58&gt;0),0,IF(EingabenÄnderungen!H18&lt;15,0,IF(H115&gt;0,MIN(H115,Zusatzeingaben!$C$233*50%),D230)))</f>
        <v>0</v>
      </c>
      <c r="I116" s="110">
        <f>IF(AND(EingabenÄnderungen!I18&gt;14,EingabenÄnderungen!I34="nein",I115=0,I58&gt;0),0,IF(EingabenÄnderungen!I18&lt;15,0,IF(I115&gt;0,MIN(I115,Zusatzeingaben!$C$233*50%),D235)))</f>
        <v>0</v>
      </c>
    </row>
    <row r="117" spans="1:9" s="217" customFormat="1" ht="18" customHeight="1">
      <c r="A117" s="408">
        <f>IF(B117&gt;0,"./. Freibetrag bei Erwerbstätigkeit",0)</f>
        <v>0</v>
      </c>
      <c r="B117" s="284">
        <f t="shared" si="13"/>
        <v>0</v>
      </c>
      <c r="C117" s="62">
        <f>IF(C54+C58-C113=0,0,IF(C54+C58-C113-C116&lt;0,C54+C58-C113,C116))</f>
        <v>0</v>
      </c>
      <c r="D117" s="62">
        <f t="shared" ref="D117:I117" si="14">IF(D54+D58-D113=0,0,IF(D54+D58-D113-D116&lt;0,D54+D58-D113,D116))</f>
        <v>0</v>
      </c>
      <c r="E117" s="62">
        <f t="shared" si="14"/>
        <v>0</v>
      </c>
      <c r="F117" s="62">
        <f t="shared" si="14"/>
        <v>0</v>
      </c>
      <c r="G117" s="62">
        <f t="shared" si="14"/>
        <v>0</v>
      </c>
      <c r="H117" s="62">
        <f t="shared" si="14"/>
        <v>0</v>
      </c>
      <c r="I117" s="110">
        <f t="shared" si="14"/>
        <v>0</v>
      </c>
    </row>
    <row r="118" spans="1:9" s="217" customFormat="1" ht="18" customHeight="1">
      <c r="A118" s="409">
        <f>IF(B118&gt;0,"./. Unterhaltsverpflichtungen",0)</f>
        <v>0</v>
      </c>
      <c r="B118" s="284">
        <f t="shared" si="13"/>
        <v>0</v>
      </c>
      <c r="C118" s="62">
        <f>IF(C70=0,0,EingabenÄnderungen!C216)</f>
        <v>0</v>
      </c>
      <c r="D118" s="62">
        <f>IF(D70=0,0,EingabenÄnderungen!D216)</f>
        <v>0</v>
      </c>
      <c r="E118" s="62">
        <f>IF(E70=0,0,EingabenÄnderungen!E216)</f>
        <v>0</v>
      </c>
      <c r="F118" s="62">
        <f>IF(F70=0,0,EingabenÄnderungen!F216)</f>
        <v>0</v>
      </c>
      <c r="G118" s="62">
        <f>IF(G70=0,0,EingabenÄnderungen!G216)</f>
        <v>0</v>
      </c>
      <c r="H118" s="62">
        <f>IF(H70=0,0,EingabenÄnderungen!H216)</f>
        <v>0</v>
      </c>
      <c r="I118" s="110">
        <f>IF(I70=0,0,EingabenÄnderungen!I216)</f>
        <v>0</v>
      </c>
    </row>
    <row r="119" spans="1:9" s="217" customFormat="1" ht="18" customHeight="1">
      <c r="A119" s="415">
        <f>IF(B119&gt;0,"./. Elterngeldfreibetrag",0)</f>
        <v>0</v>
      </c>
      <c r="B119" s="284">
        <f t="shared" si="13"/>
        <v>0</v>
      </c>
      <c r="C119" s="62">
        <f>EingabenÄnderungen!C177</f>
        <v>0</v>
      </c>
      <c r="D119" s="62">
        <f>EingabenÄnderungen!D177</f>
        <v>0</v>
      </c>
      <c r="E119" s="62"/>
      <c r="F119" s="62"/>
      <c r="G119" s="298"/>
      <c r="H119" s="298"/>
      <c r="I119" s="299"/>
    </row>
    <row r="120" spans="1:9" s="217" customFormat="1" ht="18" customHeight="1" thickBot="1">
      <c r="A120" s="416">
        <f>IF(AND(B120&gt;0,C120=EingabenÄnderungen!C187),"./. Grundfreibetrag Ausbildungsförderung",IF(AND(B120&gt;0,C120=EingabenÄnderungen!C188),"./. Ausgaben für die Ausbildung",0))</f>
        <v>0</v>
      </c>
      <c r="B120" s="285">
        <f t="shared" si="13"/>
        <v>0</v>
      </c>
      <c r="C120" s="286">
        <f>IF(EingabenÄnderungen!C189&gt;100,EingabenÄnderungen!C188,IF(AND(EingabenÄnderungen!C188&gt;0,EingabenÄnderungen!C188&gt;EingabenÄnderungen!C187),EingabenÄnderungen!C188,EingabenÄnderungen!C187))</f>
        <v>0</v>
      </c>
      <c r="D120" s="286">
        <f>IF(EingabenÄnderungen!D189&gt;100,EingabenÄnderungen!D188,IF(AND(EingabenÄnderungen!D188&gt;0,EingabenÄnderungen!D188&gt;EingabenÄnderungen!D187),EingabenÄnderungen!D188,EingabenÄnderungen!D187))</f>
        <v>0</v>
      </c>
      <c r="E120" s="286">
        <f>IF(EingabenÄnderungen!E189&gt;100,EingabenÄnderungen!E188,IF(AND(EingabenÄnderungen!E188&gt;0,EingabenÄnderungen!E188&gt;EingabenÄnderungen!E187),EingabenÄnderungen!E188,EingabenÄnderungen!E187))</f>
        <v>0</v>
      </c>
      <c r="F120" s="286">
        <f>IF(EingabenÄnderungen!F189&gt;100,EingabenÄnderungen!F188,IF(AND(EingabenÄnderungen!F188&gt;0,EingabenÄnderungen!F188&gt;EingabenÄnderungen!F187),EingabenÄnderungen!F188,EingabenÄnderungen!F187))</f>
        <v>0</v>
      </c>
      <c r="G120" s="286">
        <f>IF(EingabenÄnderungen!G189&gt;100,EingabenÄnderungen!G188,IF(AND(EingabenÄnderungen!G188&gt;0,EingabenÄnderungen!G188&gt;EingabenÄnderungen!G187),EingabenÄnderungen!G188,EingabenÄnderungen!G187))</f>
        <v>0</v>
      </c>
      <c r="H120" s="286">
        <f>IF(EingabenÄnderungen!H189&gt;100,EingabenÄnderungen!H188,IF(AND(EingabenÄnderungen!H188&gt;0,EingabenÄnderungen!H188&gt;EingabenÄnderungen!H187),EingabenÄnderungen!H188,EingabenÄnderungen!H187))</f>
        <v>0</v>
      </c>
      <c r="I120" s="287">
        <f>IF(EingabenÄnderungen!I189&gt;100,EingabenÄnderungen!I188,IF(AND(EingabenÄnderungen!I188&gt;0,EingabenÄnderungen!I188&gt;EingabenÄnderungen!I187),EingabenÄnderungen!I188,EingabenÄnderungen!I187))</f>
        <v>0</v>
      </c>
    </row>
    <row r="121" spans="1:9" s="217" customFormat="1" ht="18" hidden="1" customHeight="1" thickTop="1">
      <c r="A121" s="250"/>
      <c r="B121" s="137">
        <f>SUM(C121:I121)</f>
        <v>0</v>
      </c>
      <c r="C121" s="137">
        <f>C70-C76-C82-C87-C92-C98-C104-C108-C109-C113-C114-C117-C118-C119-C120</f>
        <v>0</v>
      </c>
      <c r="D121" s="137">
        <f t="shared" ref="D121:I121" si="15">D70-D76-D82-D87-D92-D98-D104-D108-D109-D113-D114-D117-D118-D119-D120</f>
        <v>0</v>
      </c>
      <c r="E121" s="137">
        <f t="shared" si="15"/>
        <v>0</v>
      </c>
      <c r="F121" s="137">
        <f t="shared" si="15"/>
        <v>0</v>
      </c>
      <c r="G121" s="137">
        <f t="shared" si="15"/>
        <v>0</v>
      </c>
      <c r="H121" s="137">
        <f t="shared" si="15"/>
        <v>0</v>
      </c>
      <c r="I121" s="175">
        <f t="shared" si="15"/>
        <v>0</v>
      </c>
    </row>
    <row r="122" spans="1:9" s="217" customFormat="1" ht="21" customHeight="1" thickTop="1" thickBot="1">
      <c r="A122" s="344" t="s">
        <v>67</v>
      </c>
      <c r="B122" s="280">
        <f>SUM(C122:I122)</f>
        <v>0</v>
      </c>
      <c r="C122" s="280">
        <f>IF(C121&lt;0,0,C121)</f>
        <v>0</v>
      </c>
      <c r="D122" s="280">
        <f t="shared" ref="D122:I122" si="16">IF(D121&lt;0,0,D121)</f>
        <v>0</v>
      </c>
      <c r="E122" s="280">
        <f t="shared" si="16"/>
        <v>0</v>
      </c>
      <c r="F122" s="280">
        <f t="shared" si="16"/>
        <v>0</v>
      </c>
      <c r="G122" s="280">
        <f t="shared" si="16"/>
        <v>0</v>
      </c>
      <c r="H122" s="280">
        <f t="shared" si="16"/>
        <v>0</v>
      </c>
      <c r="I122" s="281">
        <f t="shared" si="16"/>
        <v>0</v>
      </c>
    </row>
    <row r="123" spans="1:9" s="217" customFormat="1" ht="16.5" hidden="1" customHeight="1">
      <c r="A123" s="212"/>
      <c r="B123" s="212"/>
      <c r="C123" s="212"/>
      <c r="D123" s="212"/>
      <c r="E123" s="212"/>
      <c r="F123" s="212"/>
      <c r="G123" s="212"/>
      <c r="H123" s="212"/>
      <c r="I123" s="212"/>
    </row>
    <row r="124" spans="1:9" s="217" customFormat="1" ht="11.25" customHeight="1" thickBot="1">
      <c r="A124" s="205"/>
      <c r="B124" s="205"/>
      <c r="C124" s="205"/>
      <c r="D124" s="205"/>
      <c r="E124" s="205"/>
      <c r="F124" s="205"/>
      <c r="G124" s="205"/>
      <c r="H124" s="205"/>
      <c r="I124" s="205"/>
    </row>
    <row r="125" spans="1:9" s="217" customFormat="1" ht="21.75" customHeight="1">
      <c r="A125" s="221"/>
      <c r="B125" s="345" t="s">
        <v>157</v>
      </c>
      <c r="C125" s="222"/>
      <c r="D125" s="222"/>
      <c r="E125" s="222"/>
      <c r="F125" s="222"/>
      <c r="G125" s="222"/>
      <c r="H125" s="222"/>
      <c r="I125" s="223"/>
    </row>
    <row r="126" spans="1:9" s="217" customFormat="1" ht="18.75" customHeight="1">
      <c r="A126" s="224"/>
      <c r="B126" s="341" t="s">
        <v>1</v>
      </c>
      <c r="C126" s="558" t="str">
        <f>EingabenÄnderungen!C4</f>
        <v>Antragsteller</v>
      </c>
      <c r="D126" s="558" t="str">
        <f>EingabenÄnderungen!D4</f>
        <v>Partner(in)</v>
      </c>
      <c r="E126" s="558" t="str">
        <f>EingabenÄnderungen!E4</f>
        <v>Kind 1</v>
      </c>
      <c r="F126" s="341" t="s">
        <v>8</v>
      </c>
      <c r="G126" s="341" t="s">
        <v>9</v>
      </c>
      <c r="H126" s="341" t="s">
        <v>10</v>
      </c>
      <c r="I126" s="342" t="s">
        <v>34</v>
      </c>
    </row>
    <row r="127" spans="1:9" s="217" customFormat="1" ht="17.25" customHeight="1">
      <c r="A127" s="224" t="s">
        <v>0</v>
      </c>
      <c r="B127" s="284">
        <f>SUM(C127:I127)</f>
        <v>409</v>
      </c>
      <c r="C127" s="295">
        <f t="shared" ref="C127:I127" si="17">C50</f>
        <v>409</v>
      </c>
      <c r="D127" s="295">
        <f t="shared" si="17"/>
        <v>0</v>
      </c>
      <c r="E127" s="295">
        <f t="shared" si="17"/>
        <v>0</v>
      </c>
      <c r="F127" s="295">
        <f t="shared" si="17"/>
        <v>0</v>
      </c>
      <c r="G127" s="295">
        <f t="shared" si="17"/>
        <v>0</v>
      </c>
      <c r="H127" s="295">
        <f t="shared" si="17"/>
        <v>0</v>
      </c>
      <c r="I127" s="296">
        <f t="shared" si="17"/>
        <v>0</v>
      </c>
    </row>
    <row r="128" spans="1:9" s="217" customFormat="1" ht="19.5" customHeight="1" thickBot="1">
      <c r="A128" s="451">
        <f>IF(B128&gt;0,"./. Einkommen Kinder",0)</f>
        <v>0</v>
      </c>
      <c r="B128" s="433">
        <f>SUM(C128:I128)</f>
        <v>0</v>
      </c>
      <c r="C128" s="311"/>
      <c r="D128" s="311"/>
      <c r="E128" s="312">
        <f>E122</f>
        <v>0</v>
      </c>
      <c r="F128" s="312">
        <f>F122</f>
        <v>0</v>
      </c>
      <c r="G128" s="312">
        <f>G122</f>
        <v>0</v>
      </c>
      <c r="H128" s="312">
        <f>H122</f>
        <v>0</v>
      </c>
      <c r="I128" s="313">
        <f>I122</f>
        <v>0</v>
      </c>
    </row>
    <row r="129" spans="1:11" s="217" customFormat="1" ht="17.25" hidden="1" customHeight="1">
      <c r="A129" s="246"/>
      <c r="B129" s="314"/>
      <c r="C129" s="314"/>
      <c r="D129" s="314"/>
      <c r="E129" s="128">
        <f>E127-E128</f>
        <v>0</v>
      </c>
      <c r="F129" s="128">
        <f>F127-F128</f>
        <v>0</v>
      </c>
      <c r="G129" s="128">
        <f>G127-G128</f>
        <v>0</v>
      </c>
      <c r="H129" s="128">
        <f>H127-H128</f>
        <v>0</v>
      </c>
      <c r="I129" s="190">
        <f>I127-I128</f>
        <v>0</v>
      </c>
    </row>
    <row r="130" spans="1:11" s="217" customFormat="1" ht="17.25" hidden="1" customHeight="1">
      <c r="A130" s="243"/>
      <c r="B130" s="315"/>
      <c r="C130" s="316"/>
      <c r="D130" s="316"/>
      <c r="E130" s="316">
        <f>IF(E129&lt;0,0,E129)</f>
        <v>0</v>
      </c>
      <c r="F130" s="316">
        <f>IF(F129&lt;0,0,F129)</f>
        <v>0</v>
      </c>
      <c r="G130" s="316">
        <f>IF(G129&lt;0,0,G129)</f>
        <v>0</v>
      </c>
      <c r="H130" s="316">
        <f>IF(H129&lt;0,0,H129)</f>
        <v>0</v>
      </c>
      <c r="I130" s="317">
        <f>IF(I129&lt;0,0,I129)</f>
        <v>0</v>
      </c>
    </row>
    <row r="131" spans="1:11" s="217" customFormat="1" ht="19.5" customHeight="1" thickTop="1">
      <c r="A131" s="230" t="s">
        <v>36</v>
      </c>
      <c r="B131" s="284">
        <f>SUM(C131:I131)</f>
        <v>409</v>
      </c>
      <c r="C131" s="295">
        <f>C127</f>
        <v>409</v>
      </c>
      <c r="D131" s="295">
        <f>D127</f>
        <v>0</v>
      </c>
      <c r="E131" s="295">
        <f>E130</f>
        <v>0</v>
      </c>
      <c r="F131" s="295">
        <f>F130</f>
        <v>0</v>
      </c>
      <c r="G131" s="295">
        <f>G130</f>
        <v>0</v>
      </c>
      <c r="H131" s="295">
        <f>H130</f>
        <v>0</v>
      </c>
      <c r="I131" s="296">
        <f>I130</f>
        <v>0</v>
      </c>
      <c r="K131" s="557"/>
    </row>
    <row r="132" spans="1:11" s="217" customFormat="1" ht="18" hidden="1" customHeight="1">
      <c r="A132" s="230"/>
      <c r="B132" s="284">
        <f>SUM(C132:I132)</f>
        <v>409</v>
      </c>
      <c r="C132" s="295">
        <f t="shared" ref="C132:I132" si="18">IF(C10="ja",C131,0)</f>
        <v>409</v>
      </c>
      <c r="D132" s="295">
        <f t="shared" si="18"/>
        <v>0</v>
      </c>
      <c r="E132" s="295">
        <f>IF(AND(EingabenÄnderungen!E37=0,E10="ja"),E131,0)</f>
        <v>0</v>
      </c>
      <c r="F132" s="295">
        <f t="shared" si="18"/>
        <v>0</v>
      </c>
      <c r="G132" s="295">
        <f t="shared" si="18"/>
        <v>0</v>
      </c>
      <c r="H132" s="295">
        <f t="shared" si="18"/>
        <v>0</v>
      </c>
      <c r="I132" s="296">
        <f t="shared" si="18"/>
        <v>0</v>
      </c>
    </row>
    <row r="133" spans="1:11" s="217" customFormat="1" ht="17.25" customHeight="1">
      <c r="A133" s="247" t="s">
        <v>37</v>
      </c>
      <c r="B133" s="430">
        <f>SUM(C133:I133)</f>
        <v>1</v>
      </c>
      <c r="C133" s="318">
        <f>IF(AND(B132&gt;0,C10="ja"),C132/B132,0)</f>
        <v>1</v>
      </c>
      <c r="D133" s="318">
        <f t="shared" ref="D133:I133" si="19">IF(AND($B$132&gt;0,D11&gt;0,D10="ja"),D132/$B$132,0)</f>
        <v>0</v>
      </c>
      <c r="E133" s="318">
        <f t="shared" si="19"/>
        <v>0</v>
      </c>
      <c r="F133" s="318">
        <f t="shared" si="19"/>
        <v>0</v>
      </c>
      <c r="G133" s="318">
        <f t="shared" si="19"/>
        <v>0</v>
      </c>
      <c r="H133" s="318">
        <f t="shared" si="19"/>
        <v>0</v>
      </c>
      <c r="I133" s="319">
        <f t="shared" si="19"/>
        <v>0</v>
      </c>
    </row>
    <row r="134" spans="1:11" s="217" customFormat="1" ht="19.5" hidden="1" customHeight="1">
      <c r="A134" s="244"/>
      <c r="B134" s="62"/>
      <c r="C134" s="318"/>
      <c r="D134" s="318"/>
      <c r="E134" s="62">
        <f>IF(E129&lt;0,E129,0)</f>
        <v>0</v>
      </c>
      <c r="F134" s="62">
        <f>IF(F129&lt;0,F129,0)</f>
        <v>0</v>
      </c>
      <c r="G134" s="62">
        <f>IF(G129&lt;0,G129,0)</f>
        <v>0</v>
      </c>
      <c r="H134" s="62">
        <f>IF(H129&lt;0,H129,0)</f>
        <v>0</v>
      </c>
      <c r="I134" s="110">
        <f>IF(I129&lt;0,I129,0)</f>
        <v>0</v>
      </c>
    </row>
    <row r="135" spans="1:11" s="217" customFormat="1" ht="16.5" hidden="1" customHeight="1">
      <c r="A135" s="248"/>
      <c r="B135" s="137"/>
      <c r="C135" s="137"/>
      <c r="D135" s="137"/>
      <c r="E135" s="137">
        <f>IF(E134&lt;-E62,-E62,E134)</f>
        <v>0</v>
      </c>
      <c r="F135" s="137">
        <f>IF(F134&lt;-F62,-F62,F134)</f>
        <v>0</v>
      </c>
      <c r="G135" s="137">
        <f>IF(G134&lt;-G62,-G62,G134)</f>
        <v>0</v>
      </c>
      <c r="H135" s="137">
        <f>IF(H134&lt;-H62,-H62,H134)</f>
        <v>0</v>
      </c>
      <c r="I135" s="175">
        <f>IF(I134&lt;-I62,-I62,I134)</f>
        <v>0</v>
      </c>
    </row>
    <row r="136" spans="1:11" s="217" customFormat="1" ht="19.5" hidden="1" customHeight="1">
      <c r="A136" s="248"/>
      <c r="B136" s="137">
        <f>SUM(E136:I136)</f>
        <v>0</v>
      </c>
      <c r="C136" s="137"/>
      <c r="D136" s="137"/>
      <c r="E136" s="137">
        <f>-E135*1</f>
        <v>0</v>
      </c>
      <c r="F136" s="137">
        <f>-F135*1</f>
        <v>0</v>
      </c>
      <c r="G136" s="137">
        <f>-G135*1</f>
        <v>0</v>
      </c>
      <c r="H136" s="137">
        <f>-H135*1</f>
        <v>0</v>
      </c>
      <c r="I136" s="175">
        <f>-I135*1</f>
        <v>0</v>
      </c>
    </row>
    <row r="137" spans="1:11" s="217" customFormat="1" ht="18" customHeight="1">
      <c r="A137" s="468">
        <f>IF(OR(C137&gt;0,D137&gt;0),"übertragbares Kindergeld",0)</f>
        <v>0</v>
      </c>
      <c r="B137" s="1491"/>
      <c r="C137" s="1493">
        <f>IF(Zusatzeingaben!C229=TRUE,$B$136,0)</f>
        <v>0</v>
      </c>
      <c r="D137" s="1492">
        <f>IF(Zusatzeingaben!D229=TRUE,$B$136,0)</f>
        <v>0</v>
      </c>
      <c r="E137" s="323"/>
      <c r="F137" s="323"/>
      <c r="G137" s="323"/>
      <c r="H137" s="323"/>
      <c r="I137" s="324"/>
    </row>
    <row r="138" spans="1:11" s="217" customFormat="1" ht="19.5" hidden="1" customHeight="1">
      <c r="A138" s="249"/>
      <c r="B138" s="314"/>
      <c r="C138" s="322">
        <f>IF(AND(C122=0,C137&gt;0),30+EingabenÄnderungen!C202+EingabenÄnderungen!C203+EingabenÄnderungen!C210,0)</f>
        <v>0</v>
      </c>
      <c r="D138" s="322">
        <f>IF(AND(D122=0,D137&gt;0),30+EingabenÄnderungen!D202+EingabenÄnderungen!D203+EingabenÄnderungen!D210,0)</f>
        <v>0</v>
      </c>
      <c r="E138" s="322">
        <f>IF(AND(E122=0,E137&gt;0),30+EingabenÄnderungen!E202+EingabenÄnderungen!E203+EingabenÄnderungen!E210,0)</f>
        <v>0</v>
      </c>
      <c r="F138" s="322">
        <f>IF(AND(F122=0,F137&gt;0),30+EingabenÄnderungen!F202+EingabenÄnderungen!F203+EingabenÄnderungen!F210,0)</f>
        <v>0</v>
      </c>
      <c r="G138" s="322">
        <f>IF(AND(G122=0,G137&gt;0),30+EingabenÄnderungen!G202+EingabenÄnderungen!G203+EingabenÄnderungen!G210,0)</f>
        <v>0</v>
      </c>
      <c r="H138" s="322">
        <f>IF(AND(H122=0,H137&gt;0),30+EingabenÄnderungen!H202+EingabenÄnderungen!H203+EingabenÄnderungen!H210,0)</f>
        <v>0</v>
      </c>
      <c r="I138" s="322">
        <f>IF(AND(I122=0,I137&gt;0),30+EingabenÄnderungen!I202+EingabenÄnderungen!I203+EingabenÄnderungen!I210,0)</f>
        <v>0</v>
      </c>
    </row>
    <row r="139" spans="1:11" s="217" customFormat="1" ht="19.5" hidden="1" customHeight="1">
      <c r="A139" s="249"/>
      <c r="B139" s="314"/>
      <c r="C139" s="322">
        <f>C137-C138</f>
        <v>0</v>
      </c>
      <c r="D139" s="322">
        <f>D137-D138</f>
        <v>0</v>
      </c>
      <c r="E139" s="323"/>
      <c r="F139" s="323"/>
      <c r="G139" s="323"/>
      <c r="H139" s="323"/>
      <c r="I139" s="324"/>
    </row>
    <row r="140" spans="1:11" s="217" customFormat="1" ht="19.5" hidden="1" customHeight="1">
      <c r="A140" s="249"/>
      <c r="B140" s="314"/>
      <c r="C140" s="322">
        <f>IF(C139&lt;0,0,C139)</f>
        <v>0</v>
      </c>
      <c r="D140" s="322">
        <f>IF(D139&lt;0,0,D139)</f>
        <v>0</v>
      </c>
      <c r="E140" s="323"/>
      <c r="F140" s="323"/>
      <c r="G140" s="323"/>
      <c r="H140" s="323"/>
      <c r="I140" s="324"/>
    </row>
    <row r="141" spans="1:11" s="217" customFormat="1" ht="17.25" customHeight="1">
      <c r="A141" s="244" t="s">
        <v>22</v>
      </c>
      <c r="B141" s="975">
        <f>C141+D141</f>
        <v>0</v>
      </c>
      <c r="C141" s="62">
        <f>C122+C140</f>
        <v>0</v>
      </c>
      <c r="D141" s="62">
        <f>D122+D140</f>
        <v>0</v>
      </c>
      <c r="E141" s="325"/>
      <c r="F141" s="325"/>
      <c r="G141" s="325"/>
      <c r="H141" s="325"/>
      <c r="I141" s="326"/>
    </row>
    <row r="142" spans="1:11" s="217" customFormat="1" ht="16.5" hidden="1" customHeight="1">
      <c r="A142" s="250"/>
      <c r="B142" s="327"/>
      <c r="C142" s="137">
        <f>C127-C141</f>
        <v>409</v>
      </c>
      <c r="D142" s="137">
        <f>D127-D141</f>
        <v>0</v>
      </c>
      <c r="E142" s="327"/>
      <c r="F142" s="327"/>
      <c r="G142" s="327"/>
      <c r="H142" s="327"/>
      <c r="I142" s="328"/>
    </row>
    <row r="143" spans="1:11" s="217" customFormat="1" ht="16.5" hidden="1" customHeight="1">
      <c r="A143" s="250"/>
      <c r="B143" s="327"/>
      <c r="C143" s="137">
        <f>-1*C142</f>
        <v>-409</v>
      </c>
      <c r="D143" s="137">
        <f>-1*D142</f>
        <v>0</v>
      </c>
      <c r="E143" s="327"/>
      <c r="F143" s="327"/>
      <c r="G143" s="327"/>
      <c r="H143" s="327"/>
      <c r="I143" s="328"/>
    </row>
    <row r="144" spans="1:11" s="217" customFormat="1" ht="16.5" hidden="1" customHeight="1">
      <c r="A144" s="250"/>
      <c r="B144" s="327"/>
      <c r="C144" s="137">
        <f>IF(C143&gt;0,C143,0)</f>
        <v>0</v>
      </c>
      <c r="D144" s="137">
        <f>IF(D143&gt;0,D143,0)</f>
        <v>0</v>
      </c>
      <c r="E144" s="137"/>
      <c r="F144" s="137"/>
      <c r="G144" s="137"/>
      <c r="H144" s="137"/>
      <c r="I144" s="175"/>
    </row>
    <row r="145" spans="1:12" s="217" customFormat="1">
      <c r="A145" s="244">
        <f>IF(B145&gt;0,"./. nicht verteilbares Einkommen",0)</f>
        <v>0</v>
      </c>
      <c r="B145" s="284">
        <f>C145+D145</f>
        <v>0</v>
      </c>
      <c r="C145" s="62">
        <f>IF(AND($B$7&gt;2,D133&gt;0,C133=0,SUM(D131:$I$131)&lt;D141),C141,IF(OR(C10="nur Mehrbedarf",C10="nein"),C141-C146,0))</f>
        <v>0</v>
      </c>
      <c r="D145" s="62">
        <f>IF(AND($B$7&gt;2,C133&gt;0,D133=0,C131+SUM($E$131:$I$131)&lt;C141),D141,IF(OR(D10="nur Mehrbedarf",D10="nein"),D141-D146,0))</f>
        <v>0</v>
      </c>
      <c r="E145" s="62"/>
      <c r="F145" s="62"/>
      <c r="G145" s="62"/>
      <c r="H145" s="62"/>
      <c r="I145" s="110"/>
    </row>
    <row r="146" spans="1:12" s="217" customFormat="1" ht="17.25" customHeight="1">
      <c r="A146" s="224" t="s">
        <v>38</v>
      </c>
      <c r="B146" s="430">
        <f>C146+D146</f>
        <v>0</v>
      </c>
      <c r="C146" s="62">
        <f>IF(AND($B$7&gt;2,D133&gt;0,C133=0,SUM(D131:$I$131)&lt;D141),0,IF(AND(C10="nur Mehrbedarf",C141&lt;C131+C150),0,IF(AND(C10="nur Mehrbedarf",C144&gt;C150),C144-C150,IF(AND(C10="nein",C144&gt;0),C144,IF(AND(C10="nur Mehrbedarf",C144=0),0,IF(AND(C10="nein",C144=0),0,C141))))))</f>
        <v>0</v>
      </c>
      <c r="D146" s="62">
        <f>IF(AND($B$7&gt;2,C133&gt;0,D133=0,C131+SUM($E$131:$I$131)&lt;C141),0,IF(AND(D10="nur Mehrbedarf",D141&lt;D131+D150),0,IF(AND(D10="nur Mehrbedarf",D144&gt;D150),D144-D150,IF(AND(D10="nein",D144&gt;0),D144,IF(AND(D10="nur Mehrbedarf",D144=0),0,IF(AND(D10="nein",D144=0),0,D141))))))</f>
        <v>0</v>
      </c>
      <c r="E146" s="306"/>
      <c r="F146" s="306"/>
      <c r="G146" s="306"/>
      <c r="H146" s="306"/>
      <c r="I146" s="434"/>
    </row>
    <row r="147" spans="1:12" s="217" customFormat="1" ht="17.25" hidden="1" customHeight="1">
      <c r="A147" s="435"/>
      <c r="B147" s="298">
        <f t="shared" ref="B147:B151" si="20">SUM(C147:I147)</f>
        <v>0</v>
      </c>
      <c r="C147" s="62">
        <f>IF(AND($B$133=0,D131=0),C146,IF(AND($B$133=0,D146&gt;0,C131&gt;0),D146,IF(AND($B$7&gt;2,C133=0,D133=0,D146+C145&lt;C131),D146,IF(AND($B$7&gt;2,C133=0,D133=0,D146+C145&gt;C131),C131+D131-B145,IF(AND($B$7=2,C133&gt;0,D10="nur Mehrbedarf",D150+D131&gt;D141,C141&gt;C131),C131,$B$146*C133)))))</f>
        <v>0</v>
      </c>
      <c r="D147" s="62">
        <f>IF(AND($B$133=0,C131=0),D146,IF(AND($B$133=0,C146&gt;0,D131&gt;0),C146,IF(AND($B$7&gt;2,D131&gt;0,D133=0,C133=0,C146+D145&lt;D131),C146,IF(AND(B7&gt;2,D131&gt;0,C133=0,D133=0,C146+D145&gt;D131),C131+D131-B145,IF(AND($B$7=2,C10="nur Mehrbedarf",D133&gt;0,C150+C131&gt;C141,D141&gt;D131),D131,$B$146*D133)))))</f>
        <v>0</v>
      </c>
      <c r="E147" s="62">
        <f>IF(AND($C$150&gt;0,$C$146=0,$B$146*E133&gt;E131,$D$146&lt;$D$131+SUM($E$131:$I$131)),E131,IF(AND($D$150&gt;0,$D$146=0,$B$146*E133&gt;E131,$C$146&lt;$C$131+SUM($E$131:$I$131)),E131,IF(AND($B$7&gt;2,$C$133=0,$D$133=0,$C$131+$D$131&gt;$B$141),0,IF(AND($B$7&gt;2,E131&gt;0,$C$133=0,$D$133=0,$C$131+$D$131&lt;$B$141),($B$141-($C$131+$D$131))*E133,$B$146*E133))))</f>
        <v>0</v>
      </c>
      <c r="F147" s="62">
        <f t="shared" ref="F147:I147" si="21">IF(AND($C$150&gt;0,$C$146=0,$B$146*F133&gt;F131,$D$146&lt;$D$131+SUM($E$131:$I$131)),F131,IF(AND($D$150&gt;0,$D$146=0,$B$146*F133&gt;F131,$C$146&lt;$C$131+SUM($E$131:$I$131)),F131,IF(AND($B$7&gt;2,$C$133=0,$D$133=0,$C$131+$D$131&gt;$B$141),0,IF(AND($B$7&gt;2,F131&gt;0,$C$133=0,$D$133=0,$C$131+$D$131&lt;$B$141),($B$141-($C$131+$D$131))*F133,$B$146*F133))))</f>
        <v>0</v>
      </c>
      <c r="G147" s="62">
        <f t="shared" si="21"/>
        <v>0</v>
      </c>
      <c r="H147" s="62">
        <f t="shared" si="21"/>
        <v>0</v>
      </c>
      <c r="I147" s="62">
        <f t="shared" si="21"/>
        <v>0</v>
      </c>
    </row>
    <row r="148" spans="1:12" s="217" customFormat="1" ht="18.75" customHeight="1" thickBot="1">
      <c r="A148" s="451" t="s">
        <v>40</v>
      </c>
      <c r="B148" s="285">
        <f t="shared" si="20"/>
        <v>0</v>
      </c>
      <c r="C148" s="438">
        <f>IF(C147&lt;0,0,IF(AND(C150&gt;0,D146&gt;0,D146&lt;&gt;C147,C146&gt;0,C145&lt;C131+C150),C146+C147,IF(AND(D133&gt;0,C133=0,D146&gt;D147+E147+F147+G147+H147+I147),D146-D147-E147-F147-G147-H147-I147,IF(AND($B$7=2,$B$133=0,C146&gt;0,D146&gt;0),C146,IF(AND($B$7&gt;2,C133+D133=0,C146&gt;0,D146&gt;0),($B$146-E147-F147-G147-H147-I147)*C131/(C131+D131),C147)))))</f>
        <v>0</v>
      </c>
      <c r="D148" s="438">
        <f>IF(D147&lt;0,0,IF(AND(D150&gt;0,C146&gt;0,C146&lt;&gt;D147,D146&gt;0,D145&lt;D131+D150),D146+D147,IF(AND(C133&gt;0,D133=0,C146&gt;C147+E147+F147+G147+H147+I147),C146-C147-E147-F147-G147-H147-I147,IF(AND($B$7=2,$B$133=0,C146&gt;0,D146&gt;0),D146,IF(AND($B$7&gt;2,C133+D133=0,C146&gt;0,D146&gt;0),($B$146-E147-F147-G147-H147-I147)*D131/(C131+D131),D147)))))</f>
        <v>0</v>
      </c>
      <c r="E148" s="436">
        <f>IF(AND($C$147=0,$D$147=0,$B$147&lt;$B$146),$B$146*E133,E147)</f>
        <v>0</v>
      </c>
      <c r="F148" s="436">
        <f>IF(AND($C$147=0,$D$147=0,$B$147&lt;$B$146),$B$146*F133,F147)</f>
        <v>0</v>
      </c>
      <c r="G148" s="436">
        <f>IF(AND($C$147=0,$D$147=0,$B$147&lt;$B$146),$B$146*G133,G147)</f>
        <v>0</v>
      </c>
      <c r="H148" s="436">
        <f>IF(AND($C$147=0,$D$147=0,$B$147&lt;$B$146),$B$146*H133,H147)</f>
        <v>0</v>
      </c>
      <c r="I148" s="437">
        <f>IF(AND($C$147=0,$D$147=0,$B$147&lt;$B$146),$B$146*I133,I147)</f>
        <v>0</v>
      </c>
    </row>
    <row r="149" spans="1:12" s="217" customFormat="1" ht="19.5" customHeight="1" thickTop="1">
      <c r="A149" s="1490" t="s">
        <v>125</v>
      </c>
      <c r="B149" s="297">
        <f t="shared" si="20"/>
        <v>409</v>
      </c>
      <c r="C149" s="297">
        <f>C131-C145-C148</f>
        <v>409</v>
      </c>
      <c r="D149" s="297">
        <f>D131-D145-D148</f>
        <v>0</v>
      </c>
      <c r="E149" s="297">
        <f>E131-E148</f>
        <v>0</v>
      </c>
      <c r="F149" s="297">
        <f>F131-F148</f>
        <v>0</v>
      </c>
      <c r="G149" s="297">
        <f>G131-G148</f>
        <v>0</v>
      </c>
      <c r="H149" s="297">
        <f>H131-H148</f>
        <v>0</v>
      </c>
      <c r="I149" s="329">
        <f>I131-I148</f>
        <v>0</v>
      </c>
    </row>
    <row r="150" spans="1:12" s="217" customFormat="1" ht="18" customHeight="1">
      <c r="A150" s="244">
        <f>IF(B150&gt;0,"Mehrbedarf nach § 27 (2) SGB II",0)</f>
        <v>0</v>
      </c>
      <c r="B150" s="440">
        <f t="shared" si="20"/>
        <v>0</v>
      </c>
      <c r="C150" s="295">
        <f>IF(C10="nur Mehrbedarf",EingabenÄnderungen!C45+EingabenÄnderungen!B46+EingabenÄnderungen!C93+EingabenÄnderungen!C94,0)</f>
        <v>0</v>
      </c>
      <c r="D150" s="295">
        <f>IF(D10="nur Mehrbedarf",EingabenÄnderungen!D45+EingabenÄnderungen!D93+EingabenÄnderungen!D94,0)</f>
        <v>0</v>
      </c>
      <c r="E150" s="62"/>
      <c r="F150" s="62"/>
      <c r="G150" s="62"/>
      <c r="H150" s="62"/>
      <c r="I150" s="110"/>
    </row>
    <row r="151" spans="1:12" s="217" customFormat="1" ht="17.25" customHeight="1">
      <c r="A151" s="409">
        <f>IF(B151&gt;0,"./. Überschuss",0)</f>
        <v>0</v>
      </c>
      <c r="B151" s="430">
        <f t="shared" si="20"/>
        <v>0</v>
      </c>
      <c r="C151" s="62">
        <f>IF(AND(C10="nur Mehrbedarf",$B$149&lt;0,D149&lt;0),$B$149*-1,IF(AND(C10="nur Mehrbedarf",$B$149&lt;0,$E$149&lt;0),$B$149*-1,IF(AND(C10="nur Mehrbedarf",D149&gt;=0,C149&lt;0),C149*-1,0)))</f>
        <v>0</v>
      </c>
      <c r="D151" s="62">
        <f>IF(AND(D10="nur Mehrbedarf",$B$149&lt;0,C149&lt;0),$B$149*-1,IF(AND(D10="nur Mehrbedarf",$B$149&lt;0,$E$149&lt;0),$B$149*-1,IF(AND(D10="nur Mehrbedarf",C149&gt;=0,D149&lt;0),D149*-1,0)))</f>
        <v>0</v>
      </c>
      <c r="E151" s="62"/>
      <c r="F151" s="62"/>
      <c r="G151" s="62"/>
      <c r="H151" s="62"/>
      <c r="I151" s="110"/>
    </row>
    <row r="152" spans="1:12" s="217" customFormat="1" ht="17.25" hidden="1" customHeight="1">
      <c r="A152" s="229"/>
      <c r="B152" s="720"/>
      <c r="C152" s="668">
        <f>C149-C157</f>
        <v>409</v>
      </c>
      <c r="D152" s="668">
        <f t="shared" ref="D152:I152" si="22">D149-D157</f>
        <v>0</v>
      </c>
      <c r="E152" s="668">
        <f t="shared" si="22"/>
        <v>0</v>
      </c>
      <c r="F152" s="668">
        <f t="shared" si="22"/>
        <v>0</v>
      </c>
      <c r="G152" s="668">
        <f t="shared" si="22"/>
        <v>0</v>
      </c>
      <c r="H152" s="668">
        <f t="shared" si="22"/>
        <v>0</v>
      </c>
      <c r="I152" s="669">
        <f t="shared" si="22"/>
        <v>0</v>
      </c>
    </row>
    <row r="153" spans="1:12" s="217" customFormat="1" ht="17.25" hidden="1" customHeight="1">
      <c r="A153" s="224"/>
      <c r="B153" s="62"/>
      <c r="C153" s="668">
        <f>IF(EingabenÄnderungen!C217="einmal",C11*10%,IF(EingabenÄnderungen!C217="zweimal",C11*20%,IF(EingabenÄnderungen!C217="dreimal",C11*30%,0)))</f>
        <v>0</v>
      </c>
      <c r="D153" s="668">
        <f>IF(EingabenÄnderungen!D217="einmal",D11*10%,IF(EingabenÄnderungen!D217="zweimal",D11*20%,IF(EingabenÄnderungen!D217="dreimal",D11*30%,0)))</f>
        <v>0</v>
      </c>
      <c r="E153" s="668">
        <f>IF(EingabenÄnderungen!E217="einmal",E11*10%,IF(EingabenÄnderungen!E217="zweimal",E11*20%,IF(EingabenÄnderungen!E217="dreimal",E11*30%,0)))</f>
        <v>0</v>
      </c>
      <c r="F153" s="668">
        <f>IF(EingabenÄnderungen!F217="einmal",F11*10%,IF(EingabenÄnderungen!F217="zweimal",F11*20%,IF(EingabenÄnderungen!F217="dreimal",F11*30%,0)))</f>
        <v>0</v>
      </c>
      <c r="G153" s="668">
        <f>IF(EingabenÄnderungen!G217="einmal",G11*10%,IF(EingabenÄnderungen!G217="zweimal",G11*20%,IF(EingabenÄnderungen!G217="dreimal",G11*30%,0)))</f>
        <v>0</v>
      </c>
      <c r="H153" s="668">
        <f>IF(EingabenÄnderungen!H217="einmal",H11*10%,IF(EingabenÄnderungen!H217="zweimal",H11*20%,IF(EingabenÄnderungen!H217="dreimal",H11*30%,0)))</f>
        <v>0</v>
      </c>
      <c r="I153" s="669">
        <f>IF(EingabenÄnderungen!I217="einmal",I11*10%,IF(EingabenÄnderungen!I217="zweimal",I11*20%,IF(EingabenÄnderungen!I217="dreimal",I11*30%,0)))</f>
        <v>0</v>
      </c>
    </row>
    <row r="154" spans="1:12" s="217" customFormat="1" ht="17.25" hidden="1" customHeight="1">
      <c r="A154" s="229"/>
      <c r="B154" s="62"/>
      <c r="C154" s="62">
        <f t="shared" ref="C154:I154" si="23">IF(C152&gt;C149,C149,C152)</f>
        <v>409</v>
      </c>
      <c r="D154" s="62">
        <f t="shared" si="23"/>
        <v>0</v>
      </c>
      <c r="E154" s="62">
        <f t="shared" si="23"/>
        <v>0</v>
      </c>
      <c r="F154" s="62">
        <f t="shared" si="23"/>
        <v>0</v>
      </c>
      <c r="G154" s="62">
        <f t="shared" si="23"/>
        <v>0</v>
      </c>
      <c r="H154" s="62">
        <f t="shared" si="23"/>
        <v>0</v>
      </c>
      <c r="I154" s="110">
        <f t="shared" si="23"/>
        <v>0</v>
      </c>
    </row>
    <row r="155" spans="1:12" s="217" customFormat="1" ht="17.25" customHeight="1">
      <c r="A155" s="409">
        <f>IF(B155&gt;0,"./. Minderung Meldeversäumnis",0)</f>
        <v>0</v>
      </c>
      <c r="B155" s="284">
        <f>SUM(C155:I155)</f>
        <v>0</v>
      </c>
      <c r="C155" s="62">
        <f>IF(OR(C149&lt;0,C153=0),0,MIN(C154,C153))</f>
        <v>0</v>
      </c>
      <c r="D155" s="62">
        <f t="shared" ref="D155:I155" si="24">IF(OR(D149&lt;0,D153=0),0,MIN(D154,D153))</f>
        <v>0</v>
      </c>
      <c r="E155" s="62">
        <f t="shared" si="24"/>
        <v>0</v>
      </c>
      <c r="F155" s="62">
        <f t="shared" si="24"/>
        <v>0</v>
      </c>
      <c r="G155" s="62">
        <f t="shared" si="24"/>
        <v>0</v>
      </c>
      <c r="H155" s="62">
        <f t="shared" si="24"/>
        <v>0</v>
      </c>
      <c r="I155" s="110">
        <f t="shared" si="24"/>
        <v>0</v>
      </c>
    </row>
    <row r="156" spans="1:12" s="217" customFormat="1" ht="17.25" hidden="1" customHeight="1">
      <c r="A156" s="411"/>
      <c r="B156" s="719"/>
      <c r="C156" s="132">
        <f>EingabenÄnderungen!C221</f>
        <v>0</v>
      </c>
      <c r="D156" s="132">
        <f>EingabenÄnderungen!D221</f>
        <v>0</v>
      </c>
      <c r="E156" s="132">
        <f>EingabenÄnderungen!E221</f>
        <v>0</v>
      </c>
      <c r="F156" s="132">
        <f>EingabenÄnderungen!F221</f>
        <v>0</v>
      </c>
      <c r="G156" s="132">
        <f>EingabenÄnderungen!G221</f>
        <v>0</v>
      </c>
      <c r="H156" s="132">
        <f>EingabenÄnderungen!H221</f>
        <v>0</v>
      </c>
      <c r="I156" s="133">
        <f>EingabenÄnderungen!I221</f>
        <v>0</v>
      </c>
    </row>
    <row r="157" spans="1:12" s="217" customFormat="1" ht="17.25" hidden="1" customHeight="1">
      <c r="A157" s="408"/>
      <c r="B157" s="429"/>
      <c r="C157" s="668">
        <f t="shared" ref="C157:I157" si="25">IF(C156&gt;C149,C149,C156)</f>
        <v>0</v>
      </c>
      <c r="D157" s="668">
        <f t="shared" si="25"/>
        <v>0</v>
      </c>
      <c r="E157" s="668">
        <f t="shared" si="25"/>
        <v>0</v>
      </c>
      <c r="F157" s="668">
        <f t="shared" si="25"/>
        <v>0</v>
      </c>
      <c r="G157" s="668">
        <f t="shared" si="25"/>
        <v>0</v>
      </c>
      <c r="H157" s="668">
        <f t="shared" si="25"/>
        <v>0</v>
      </c>
      <c r="I157" s="669">
        <f t="shared" si="25"/>
        <v>0</v>
      </c>
    </row>
    <row r="158" spans="1:12" s="217" customFormat="1" ht="18" customHeight="1" thickBot="1">
      <c r="A158" s="416">
        <f>IF(B158&gt;0,"./. Minderung Pflichtverletzung",0)</f>
        <v>0</v>
      </c>
      <c r="B158" s="671">
        <f>SUM(C158:I158)</f>
        <v>0</v>
      </c>
      <c r="C158" s="672">
        <f>IF(C157&lt;0,0,C157)</f>
        <v>0</v>
      </c>
      <c r="D158" s="286">
        <f t="shared" ref="D158:I158" si="26">IF(D157&lt;0,0,D157)</f>
        <v>0</v>
      </c>
      <c r="E158" s="286">
        <f t="shared" si="26"/>
        <v>0</v>
      </c>
      <c r="F158" s="286">
        <f t="shared" si="26"/>
        <v>0</v>
      </c>
      <c r="G158" s="286">
        <f t="shared" si="26"/>
        <v>0</v>
      </c>
      <c r="H158" s="286">
        <f t="shared" si="26"/>
        <v>0</v>
      </c>
      <c r="I158" s="287">
        <f t="shared" si="26"/>
        <v>0</v>
      </c>
    </row>
    <row r="159" spans="1:12" s="217" customFormat="1" ht="16.5" hidden="1" customHeight="1" thickTop="1">
      <c r="A159" s="253"/>
      <c r="B159" s="213"/>
      <c r="C159" s="214">
        <f>IF(C10="nur Mehrbedarf",C150-C151,0)</f>
        <v>0</v>
      </c>
      <c r="D159" s="214">
        <f>IF(D10="nur Mehrbedarf",D150-D151,0)</f>
        <v>0</v>
      </c>
      <c r="E159" s="214"/>
      <c r="F159" s="214"/>
      <c r="G159" s="214"/>
      <c r="H159" s="214"/>
      <c r="I159" s="254"/>
      <c r="K159" s="215"/>
      <c r="L159" s="215"/>
    </row>
    <row r="160" spans="1:12" s="217" customFormat="1" ht="17.25" hidden="1" customHeight="1">
      <c r="A160" s="431"/>
      <c r="B160" s="429">
        <f>SUM(C160:I160)</f>
        <v>409</v>
      </c>
      <c r="C160" s="429">
        <f>IF(C10="nur Mehrbedarf",C159,C149-C155-C158)</f>
        <v>409</v>
      </c>
      <c r="D160" s="429">
        <f t="shared" ref="D160:I160" si="27">IF(D10="nur Mehrbedarf",D159,D149-D155-D158)</f>
        <v>0</v>
      </c>
      <c r="E160" s="429">
        <f t="shared" si="27"/>
        <v>0</v>
      </c>
      <c r="F160" s="429">
        <f t="shared" si="27"/>
        <v>0</v>
      </c>
      <c r="G160" s="429">
        <f t="shared" si="27"/>
        <v>0</v>
      </c>
      <c r="H160" s="429">
        <f t="shared" si="27"/>
        <v>0</v>
      </c>
      <c r="I160" s="429">
        <f t="shared" si="27"/>
        <v>0</v>
      </c>
    </row>
    <row r="161" spans="1:9" s="217" customFormat="1" ht="25.5" customHeight="1" thickTop="1" thickBot="1">
      <c r="A161" s="579" t="s">
        <v>27</v>
      </c>
      <c r="B161" s="580">
        <f>SUM(C161:I161)</f>
        <v>409</v>
      </c>
      <c r="C161" s="580">
        <f t="shared" ref="C161:I161" si="28">IF(C10="nein",0,IF(C160&lt;0,0,C160))</f>
        <v>409</v>
      </c>
      <c r="D161" s="580">
        <f t="shared" si="28"/>
        <v>0</v>
      </c>
      <c r="E161" s="580">
        <f t="shared" si="28"/>
        <v>0</v>
      </c>
      <c r="F161" s="580">
        <f t="shared" si="28"/>
        <v>0</v>
      </c>
      <c r="G161" s="580">
        <f t="shared" si="28"/>
        <v>0</v>
      </c>
      <c r="H161" s="580">
        <f t="shared" si="28"/>
        <v>0</v>
      </c>
      <c r="I161" s="581">
        <f t="shared" si="28"/>
        <v>0</v>
      </c>
    </row>
    <row r="162" spans="1:9" ht="24.75" customHeight="1" thickBot="1">
      <c r="A162" s="567" t="s">
        <v>143</v>
      </c>
      <c r="B162" s="568">
        <f>Berechnung!B161</f>
        <v>416</v>
      </c>
      <c r="C162" s="568">
        <f>Berechnung!C161</f>
        <v>416</v>
      </c>
      <c r="D162" s="568">
        <f>Berechnung!D161</f>
        <v>0</v>
      </c>
      <c r="E162" s="568">
        <f>Berechnung!E161</f>
        <v>0</v>
      </c>
      <c r="F162" s="568">
        <f>Berechnung!F161</f>
        <v>0</v>
      </c>
      <c r="G162" s="568">
        <f>Berechnung!G161</f>
        <v>0</v>
      </c>
      <c r="H162" s="568">
        <f>Berechnung!H161</f>
        <v>0</v>
      </c>
      <c r="I162" s="569">
        <f>Berechnung!I161</f>
        <v>0</v>
      </c>
    </row>
    <row r="163" spans="1:9" ht="24.75" customHeight="1" thickTop="1" thickBot="1">
      <c r="A163" s="509" t="s">
        <v>144</v>
      </c>
      <c r="B163" s="510">
        <f>B161-B162</f>
        <v>-7</v>
      </c>
      <c r="C163" s="510">
        <f t="shared" ref="C163:I163" si="29">C161-C162</f>
        <v>-7</v>
      </c>
      <c r="D163" s="510">
        <f t="shared" si="29"/>
        <v>0</v>
      </c>
      <c r="E163" s="510">
        <f t="shared" si="29"/>
        <v>0</v>
      </c>
      <c r="F163" s="510">
        <f t="shared" si="29"/>
        <v>0</v>
      </c>
      <c r="G163" s="510">
        <f t="shared" si="29"/>
        <v>0</v>
      </c>
      <c r="H163" s="510">
        <f t="shared" si="29"/>
        <v>0</v>
      </c>
      <c r="I163" s="511">
        <f t="shared" si="29"/>
        <v>0</v>
      </c>
    </row>
    <row r="164" spans="1:9" ht="20.25">
      <c r="A164" s="335"/>
      <c r="B164" s="330"/>
      <c r="C164" s="331"/>
      <c r="D164" s="331"/>
      <c r="E164" s="331"/>
      <c r="F164" s="331"/>
      <c r="G164" s="331"/>
      <c r="H164" s="331"/>
      <c r="I164" s="331"/>
    </row>
    <row r="165" spans="1:9" ht="18.75" customHeight="1">
      <c r="A165" s="217"/>
      <c r="B165" s="220"/>
      <c r="C165" s="217"/>
      <c r="D165" s="217"/>
      <c r="E165" s="217"/>
      <c r="F165" s="217"/>
      <c r="G165" s="217"/>
      <c r="H165" s="217"/>
      <c r="I165" s="217"/>
    </row>
    <row r="166" spans="1:9" ht="18.75" customHeight="1" thickBot="1">
      <c r="A166" s="217"/>
      <c r="B166" s="220"/>
      <c r="C166" s="217"/>
      <c r="D166" s="217"/>
      <c r="E166" s="217"/>
      <c r="F166" s="217"/>
      <c r="G166" s="217"/>
      <c r="H166" s="217"/>
      <c r="I166" s="217"/>
    </row>
    <row r="167" spans="1:9" ht="18.75" customHeight="1">
      <c r="A167" s="560" t="s">
        <v>152</v>
      </c>
      <c r="B167" s="70"/>
      <c r="C167" s="561"/>
      <c r="D167" s="561"/>
      <c r="E167" s="561"/>
      <c r="F167" s="561"/>
      <c r="G167" s="561"/>
      <c r="H167" s="561"/>
      <c r="I167" s="562"/>
    </row>
    <row r="168" spans="1:9" ht="18.75" customHeight="1">
      <c r="A168" s="224"/>
      <c r="B168" s="341" t="s">
        <v>1</v>
      </c>
      <c r="C168" s="341" t="str">
        <f>Zusatzeingaben!C4</f>
        <v>Antragsteller</v>
      </c>
      <c r="D168" s="341" t="str">
        <f>Zusatzeingaben!D4</f>
        <v>Partner(in)</v>
      </c>
      <c r="E168" s="341" t="str">
        <f>Zusatzeingaben!E4</f>
        <v>Kind 1</v>
      </c>
      <c r="F168" s="341" t="str">
        <f>Zusatzeingaben!F4</f>
        <v>Kind 2</v>
      </c>
      <c r="G168" s="341" t="str">
        <f>Zusatzeingaben!G4</f>
        <v>Kind 3</v>
      </c>
      <c r="H168" s="341" t="str">
        <f>Zusatzeingaben!H4</f>
        <v>Kind 4</v>
      </c>
      <c r="I168" s="342" t="str">
        <f>Zusatzeingaben!I4</f>
        <v>Kind 5</v>
      </c>
    </row>
    <row r="169" spans="1:9" ht="18.75" hidden="1" customHeight="1">
      <c r="A169" s="224"/>
      <c r="B169" s="447"/>
      <c r="C169" s="448">
        <f t="shared" ref="C169:I169" si="30">IF(C10="ja",C11+C13+C14+C15+C16+C17+C18+C19,0)</f>
        <v>409</v>
      </c>
      <c r="D169" s="448">
        <f t="shared" si="30"/>
        <v>0</v>
      </c>
      <c r="E169" s="448">
        <f t="shared" si="30"/>
        <v>0</v>
      </c>
      <c r="F169" s="448">
        <f t="shared" si="30"/>
        <v>0</v>
      </c>
      <c r="G169" s="448">
        <f t="shared" si="30"/>
        <v>0</v>
      </c>
      <c r="H169" s="448">
        <f t="shared" si="30"/>
        <v>0</v>
      </c>
      <c r="I169" s="449">
        <f t="shared" si="30"/>
        <v>0</v>
      </c>
    </row>
    <row r="170" spans="1:9" ht="18.75" customHeight="1">
      <c r="A170" s="224" t="s">
        <v>131</v>
      </c>
      <c r="B170" s="284">
        <f>SUM(C170:I170)</f>
        <v>409</v>
      </c>
      <c r="C170" s="295">
        <f t="shared" ref="C170:I170" si="31">IF(C10="ja",C11+C13+C14+C15+C16+C17+C18+C19+C49,IF(C10="nur Mehrbedarf",C161,0))</f>
        <v>409</v>
      </c>
      <c r="D170" s="295">
        <f t="shared" si="31"/>
        <v>0</v>
      </c>
      <c r="E170" s="295">
        <f t="shared" si="31"/>
        <v>0</v>
      </c>
      <c r="F170" s="295">
        <f t="shared" si="31"/>
        <v>0</v>
      </c>
      <c r="G170" s="295">
        <f t="shared" si="31"/>
        <v>0</v>
      </c>
      <c r="H170" s="295">
        <f t="shared" si="31"/>
        <v>0</v>
      </c>
      <c r="I170" s="296">
        <f t="shared" si="31"/>
        <v>0</v>
      </c>
    </row>
    <row r="171" spans="1:9" ht="18.75" customHeight="1">
      <c r="A171" s="450" t="s">
        <v>132</v>
      </c>
      <c r="B171" s="284">
        <f>SUM(C171:I171)</f>
        <v>0</v>
      </c>
      <c r="C171" s="295">
        <f>C155+C158</f>
        <v>0</v>
      </c>
      <c r="D171" s="295">
        <f t="shared" ref="D171:I171" si="32">D155+D158</f>
        <v>0</v>
      </c>
      <c r="E171" s="295">
        <f t="shared" si="32"/>
        <v>0</v>
      </c>
      <c r="F171" s="295">
        <f t="shared" si="32"/>
        <v>0</v>
      </c>
      <c r="G171" s="295">
        <f t="shared" si="32"/>
        <v>0</v>
      </c>
      <c r="H171" s="295">
        <f t="shared" si="32"/>
        <v>0</v>
      </c>
      <c r="I171" s="296">
        <f t="shared" si="32"/>
        <v>0</v>
      </c>
    </row>
    <row r="172" spans="1:9" ht="18.75" customHeight="1" thickBot="1">
      <c r="A172" s="451" t="s">
        <v>133</v>
      </c>
      <c r="B172" s="285">
        <f>SUM(C172:I172)</f>
        <v>0</v>
      </c>
      <c r="C172" s="312">
        <f>IF(C170=0,0,C148)</f>
        <v>0</v>
      </c>
      <c r="D172" s="312">
        <f>IF(D170=0,0,D148)</f>
        <v>0</v>
      </c>
      <c r="E172" s="312">
        <f>IF(E170=0,0,E128+E148)</f>
        <v>0</v>
      </c>
      <c r="F172" s="312">
        <f>IF(F170=0,0,F128+F148)</f>
        <v>0</v>
      </c>
      <c r="G172" s="312">
        <f>IF(G170=0,0,G128+G148)</f>
        <v>0</v>
      </c>
      <c r="H172" s="312">
        <f>IF(H170=0,0,H128+H148)</f>
        <v>0</v>
      </c>
      <c r="I172" s="313">
        <f>IF(I170=0,0,I128+I148)</f>
        <v>0</v>
      </c>
    </row>
    <row r="173" spans="1:9" ht="18.75" hidden="1" customHeight="1" thickTop="1">
      <c r="A173" s="243"/>
      <c r="B173" s="137"/>
      <c r="C173" s="452">
        <f>IF(C169=0,0,C148)</f>
        <v>0</v>
      </c>
      <c r="D173" s="452">
        <f t="shared" ref="D173:I173" si="33">IF(D169=0,0,D148)</f>
        <v>0</v>
      </c>
      <c r="E173" s="452">
        <f t="shared" si="33"/>
        <v>0</v>
      </c>
      <c r="F173" s="452">
        <f t="shared" si="33"/>
        <v>0</v>
      </c>
      <c r="G173" s="452">
        <f t="shared" si="33"/>
        <v>0</v>
      </c>
      <c r="H173" s="452">
        <f t="shared" si="33"/>
        <v>0</v>
      </c>
      <c r="I173" s="453">
        <f t="shared" si="33"/>
        <v>0</v>
      </c>
    </row>
    <row r="174" spans="1:9" ht="18.75" hidden="1" customHeight="1">
      <c r="A174" s="243"/>
      <c r="B174" s="137"/>
      <c r="C174" s="137">
        <f>C170-C171-C172</f>
        <v>409</v>
      </c>
      <c r="D174" s="137">
        <f t="shared" ref="D174:I174" si="34">D170-D171-D172</f>
        <v>0</v>
      </c>
      <c r="E174" s="137">
        <f t="shared" si="34"/>
        <v>0</v>
      </c>
      <c r="F174" s="137">
        <f t="shared" si="34"/>
        <v>0</v>
      </c>
      <c r="G174" s="137">
        <f t="shared" si="34"/>
        <v>0</v>
      </c>
      <c r="H174" s="137">
        <f t="shared" si="34"/>
        <v>0</v>
      </c>
      <c r="I174" s="175">
        <f t="shared" si="34"/>
        <v>0</v>
      </c>
    </row>
    <row r="175" spans="1:9" ht="18.75" hidden="1" customHeight="1">
      <c r="A175" s="243"/>
      <c r="B175" s="137"/>
      <c r="C175" s="454">
        <f>C169-C173</f>
        <v>409</v>
      </c>
      <c r="D175" s="454">
        <f t="shared" ref="D175:I175" si="35">D169-D173</f>
        <v>0</v>
      </c>
      <c r="E175" s="454">
        <f t="shared" si="35"/>
        <v>0</v>
      </c>
      <c r="F175" s="454">
        <f t="shared" si="35"/>
        <v>0</v>
      </c>
      <c r="G175" s="454">
        <f t="shared" si="35"/>
        <v>0</v>
      </c>
      <c r="H175" s="454">
        <f t="shared" si="35"/>
        <v>0</v>
      </c>
      <c r="I175" s="455">
        <f t="shared" si="35"/>
        <v>0</v>
      </c>
    </row>
    <row r="176" spans="1:9" ht="18.75" customHeight="1" thickTop="1" thickBot="1">
      <c r="A176" s="456" t="s">
        <v>134</v>
      </c>
      <c r="B176" s="457">
        <f>SUM(C176:I176)</f>
        <v>409</v>
      </c>
      <c r="C176" s="457">
        <f t="shared" ref="C176:I177" si="36">IF(C174&lt;0,0,C174)</f>
        <v>409</v>
      </c>
      <c r="D176" s="457">
        <f t="shared" si="36"/>
        <v>0</v>
      </c>
      <c r="E176" s="457">
        <f t="shared" si="36"/>
        <v>0</v>
      </c>
      <c r="F176" s="457">
        <f t="shared" si="36"/>
        <v>0</v>
      </c>
      <c r="G176" s="457">
        <f t="shared" si="36"/>
        <v>0</v>
      </c>
      <c r="H176" s="457">
        <f t="shared" si="36"/>
        <v>0</v>
      </c>
      <c r="I176" s="458">
        <f t="shared" si="36"/>
        <v>0</v>
      </c>
    </row>
    <row r="177" spans="1:9" ht="18.75" hidden="1" customHeight="1" thickBot="1">
      <c r="A177" s="459"/>
      <c r="B177" s="337"/>
      <c r="C177" s="460">
        <f t="shared" si="36"/>
        <v>409</v>
      </c>
      <c r="D177" s="460">
        <f t="shared" si="36"/>
        <v>0</v>
      </c>
      <c r="E177" s="460">
        <f t="shared" si="36"/>
        <v>0</v>
      </c>
      <c r="F177" s="460">
        <f t="shared" si="36"/>
        <v>0</v>
      </c>
      <c r="G177" s="460">
        <f t="shared" si="36"/>
        <v>0</v>
      </c>
      <c r="H177" s="460">
        <f t="shared" si="36"/>
        <v>0</v>
      </c>
      <c r="I177" s="461">
        <f t="shared" si="36"/>
        <v>0</v>
      </c>
    </row>
    <row r="178" spans="1:9" ht="18.75" customHeight="1" thickBot="1">
      <c r="A178" s="462" t="s">
        <v>154</v>
      </c>
      <c r="B178" s="463"/>
      <c r="C178" s="464">
        <f t="shared" ref="C178:I179" si="37">IF(C174&lt;0,C174,0)*-1</f>
        <v>0</v>
      </c>
      <c r="D178" s="464">
        <f t="shared" si="37"/>
        <v>0</v>
      </c>
      <c r="E178" s="464">
        <f t="shared" si="37"/>
        <v>0</v>
      </c>
      <c r="F178" s="464">
        <f t="shared" si="37"/>
        <v>0</v>
      </c>
      <c r="G178" s="464">
        <f t="shared" si="37"/>
        <v>0</v>
      </c>
      <c r="H178" s="464">
        <f t="shared" si="37"/>
        <v>0</v>
      </c>
      <c r="I178" s="465">
        <f t="shared" si="37"/>
        <v>0</v>
      </c>
    </row>
    <row r="179" spans="1:9" ht="18.75" hidden="1" customHeight="1">
      <c r="A179" s="243"/>
      <c r="B179" s="320"/>
      <c r="C179" s="466">
        <f t="shared" si="37"/>
        <v>0</v>
      </c>
      <c r="D179" s="466">
        <f t="shared" si="37"/>
        <v>0</v>
      </c>
      <c r="E179" s="466">
        <f t="shared" si="37"/>
        <v>0</v>
      </c>
      <c r="F179" s="466">
        <f t="shared" si="37"/>
        <v>0</v>
      </c>
      <c r="G179" s="466">
        <f t="shared" si="37"/>
        <v>0</v>
      </c>
      <c r="H179" s="466">
        <f t="shared" si="37"/>
        <v>0</v>
      </c>
      <c r="I179" s="467">
        <f t="shared" si="37"/>
        <v>0</v>
      </c>
    </row>
    <row r="180" spans="1:9" ht="18.75" customHeight="1">
      <c r="A180" s="468" t="s">
        <v>135</v>
      </c>
      <c r="B180" s="297">
        <f>SUM(C180:I180)</f>
        <v>0</v>
      </c>
      <c r="C180" s="469">
        <f t="shared" ref="C180:I180" si="38">IF(C10="ja",C47,0)</f>
        <v>0</v>
      </c>
      <c r="D180" s="469">
        <f t="shared" si="38"/>
        <v>0</v>
      </c>
      <c r="E180" s="469">
        <f t="shared" si="38"/>
        <v>0</v>
      </c>
      <c r="F180" s="469">
        <f t="shared" si="38"/>
        <v>0</v>
      </c>
      <c r="G180" s="469">
        <f t="shared" si="38"/>
        <v>0</v>
      </c>
      <c r="H180" s="469">
        <f t="shared" si="38"/>
        <v>0</v>
      </c>
      <c r="I180" s="470">
        <f t="shared" si="38"/>
        <v>0</v>
      </c>
    </row>
    <row r="181" spans="1:9" ht="18.75" customHeight="1" thickBot="1">
      <c r="A181" s="451" t="s">
        <v>136</v>
      </c>
      <c r="B181" s="471">
        <f>SUM(C181:I181)</f>
        <v>0</v>
      </c>
      <c r="C181" s="312">
        <f t="shared" ref="C181:I181" si="39">IF(C180&lt;C178,C180,C178)</f>
        <v>0</v>
      </c>
      <c r="D181" s="312">
        <f t="shared" si="39"/>
        <v>0</v>
      </c>
      <c r="E181" s="312">
        <f t="shared" si="39"/>
        <v>0</v>
      </c>
      <c r="F181" s="312">
        <f t="shared" si="39"/>
        <v>0</v>
      </c>
      <c r="G181" s="312">
        <f t="shared" si="39"/>
        <v>0</v>
      </c>
      <c r="H181" s="312">
        <f t="shared" si="39"/>
        <v>0</v>
      </c>
      <c r="I181" s="313">
        <f t="shared" si="39"/>
        <v>0</v>
      </c>
    </row>
    <row r="182" spans="1:9" ht="18.75" hidden="1" customHeight="1" thickTop="1" thickBot="1">
      <c r="A182" s="262"/>
      <c r="B182" s="320"/>
      <c r="C182" s="472">
        <f>IF(C180&lt;C179,C180,C179)</f>
        <v>0</v>
      </c>
      <c r="D182" s="472">
        <f t="shared" ref="D182:I182" si="40">IF(D180&lt;D179,D180,D179)</f>
        <v>0</v>
      </c>
      <c r="E182" s="472">
        <f t="shared" si="40"/>
        <v>0</v>
      </c>
      <c r="F182" s="472">
        <f t="shared" si="40"/>
        <v>0</v>
      </c>
      <c r="G182" s="472">
        <f t="shared" si="40"/>
        <v>0</v>
      </c>
      <c r="H182" s="472">
        <f t="shared" si="40"/>
        <v>0</v>
      </c>
      <c r="I182" s="473">
        <f t="shared" si="40"/>
        <v>0</v>
      </c>
    </row>
    <row r="183" spans="1:9" ht="18.75" hidden="1" customHeight="1" thickTop="1" thickBot="1">
      <c r="A183" s="262"/>
      <c r="B183" s="320"/>
      <c r="C183" s="474">
        <f>C180-C182</f>
        <v>0</v>
      </c>
      <c r="D183" s="474">
        <f t="shared" ref="D183:I183" si="41">D180-D182</f>
        <v>0</v>
      </c>
      <c r="E183" s="474">
        <f t="shared" si="41"/>
        <v>0</v>
      </c>
      <c r="F183" s="474">
        <f t="shared" si="41"/>
        <v>0</v>
      </c>
      <c r="G183" s="474">
        <f t="shared" si="41"/>
        <v>0</v>
      </c>
      <c r="H183" s="474">
        <f t="shared" si="41"/>
        <v>0</v>
      </c>
      <c r="I183" s="475">
        <f t="shared" si="41"/>
        <v>0</v>
      </c>
    </row>
    <row r="184" spans="1:9" ht="18.75" customHeight="1" thickTop="1" thickBot="1">
      <c r="A184" s="476" t="s">
        <v>137</v>
      </c>
      <c r="B184" s="477">
        <f>SUM(C184:I184)</f>
        <v>0</v>
      </c>
      <c r="C184" s="478">
        <f>IF(C181&lt;0,C180,C180-C181)</f>
        <v>0</v>
      </c>
      <c r="D184" s="478">
        <f t="shared" ref="D184:I184" si="42">IF(D181&lt;0,D180,D180-D181)</f>
        <v>0</v>
      </c>
      <c r="E184" s="478">
        <f t="shared" si="42"/>
        <v>0</v>
      </c>
      <c r="F184" s="478">
        <f t="shared" si="42"/>
        <v>0</v>
      </c>
      <c r="G184" s="478">
        <f t="shared" si="42"/>
        <v>0</v>
      </c>
      <c r="H184" s="478">
        <f t="shared" si="42"/>
        <v>0</v>
      </c>
      <c r="I184" s="479">
        <f t="shared" si="42"/>
        <v>0</v>
      </c>
    </row>
    <row r="185" spans="1:9" ht="24.75" customHeight="1">
      <c r="A185" s="512"/>
      <c r="B185" s="365"/>
      <c r="C185" s="365"/>
      <c r="D185" s="365"/>
      <c r="E185" s="365"/>
      <c r="F185" s="365"/>
      <c r="G185" s="365"/>
      <c r="H185" s="365"/>
      <c r="I185" s="365"/>
    </row>
    <row r="186" spans="1:9" ht="27" customHeight="1" thickBot="1">
      <c r="A186" s="512"/>
      <c r="B186" s="365"/>
      <c r="C186" s="365"/>
      <c r="D186" s="365"/>
      <c r="E186" s="365"/>
      <c r="F186" s="365"/>
      <c r="G186" s="365"/>
      <c r="H186" s="365"/>
      <c r="I186" s="365"/>
    </row>
    <row r="187" spans="1:9" ht="18.75" customHeight="1">
      <c r="A187" s="513" t="s">
        <v>151</v>
      </c>
      <c r="B187" s="514"/>
      <c r="C187" s="514"/>
      <c r="D187" s="514"/>
      <c r="E187" s="514"/>
      <c r="F187" s="514"/>
      <c r="G187" s="514"/>
      <c r="H187" s="514"/>
      <c r="I187" s="515"/>
    </row>
    <row r="188" spans="1:9" ht="18.75" customHeight="1">
      <c r="A188" s="516"/>
      <c r="B188" s="517" t="s">
        <v>1</v>
      </c>
      <c r="C188" s="518" t="str">
        <f>Zusatzeingaben!C4</f>
        <v>Antragsteller</v>
      </c>
      <c r="D188" s="518" t="str">
        <f>Zusatzeingaben!D4</f>
        <v>Partner(in)</v>
      </c>
      <c r="E188" s="518" t="str">
        <f>Zusatzeingaben!E4</f>
        <v>Kind 1</v>
      </c>
      <c r="F188" s="518" t="str">
        <f>Zusatzeingaben!F4</f>
        <v>Kind 2</v>
      </c>
      <c r="G188" s="518" t="str">
        <f>Zusatzeingaben!G4</f>
        <v>Kind 3</v>
      </c>
      <c r="H188" s="518" t="str">
        <f>Zusatzeingaben!H4</f>
        <v>Kind 4</v>
      </c>
      <c r="I188" s="519" t="str">
        <f>Zusatzeingaben!I4</f>
        <v>Kind 5</v>
      </c>
    </row>
    <row r="189" spans="1:9" ht="18.75" customHeight="1">
      <c r="A189" s="79" t="s">
        <v>145</v>
      </c>
      <c r="B189" s="520">
        <f>Berechnung!B175</f>
        <v>416</v>
      </c>
      <c r="C189" s="37">
        <f>Berechnung!C175</f>
        <v>416</v>
      </c>
      <c r="D189" s="37">
        <f>Berechnung!D175</f>
        <v>0</v>
      </c>
      <c r="E189" s="37">
        <f>Berechnung!E175</f>
        <v>0</v>
      </c>
      <c r="F189" s="37">
        <f>Berechnung!F175</f>
        <v>0</v>
      </c>
      <c r="G189" s="37">
        <f>Berechnung!G175</f>
        <v>0</v>
      </c>
      <c r="H189" s="37">
        <f>Berechnung!H175</f>
        <v>0</v>
      </c>
      <c r="I189" s="521">
        <f>Berechnung!I175</f>
        <v>0</v>
      </c>
    </row>
    <row r="190" spans="1:9" ht="18.75" customHeight="1" thickBot="1">
      <c r="A190" s="522" t="s">
        <v>146</v>
      </c>
      <c r="B190" s="523">
        <f>B176</f>
        <v>409</v>
      </c>
      <c r="C190" s="524">
        <f>C176</f>
        <v>409</v>
      </c>
      <c r="D190" s="524">
        <f t="shared" ref="D190:I190" si="43">D176</f>
        <v>0</v>
      </c>
      <c r="E190" s="524">
        <f t="shared" si="43"/>
        <v>0</v>
      </c>
      <c r="F190" s="524">
        <f t="shared" si="43"/>
        <v>0</v>
      </c>
      <c r="G190" s="524">
        <f t="shared" si="43"/>
        <v>0</v>
      </c>
      <c r="H190" s="524">
        <f t="shared" si="43"/>
        <v>0</v>
      </c>
      <c r="I190" s="525">
        <f t="shared" si="43"/>
        <v>0</v>
      </c>
    </row>
    <row r="191" spans="1:9" ht="18.75" hidden="1" customHeight="1" thickTop="1">
      <c r="A191" s="111"/>
      <c r="B191" s="526">
        <f>B189-B190</f>
        <v>7</v>
      </c>
      <c r="C191" s="526">
        <f>C189-C190</f>
        <v>7</v>
      </c>
      <c r="D191" s="526">
        <f t="shared" ref="D191:I191" si="44">D189-D190</f>
        <v>0</v>
      </c>
      <c r="E191" s="526">
        <f t="shared" si="44"/>
        <v>0</v>
      </c>
      <c r="F191" s="526">
        <f t="shared" si="44"/>
        <v>0</v>
      </c>
      <c r="G191" s="526">
        <f t="shared" si="44"/>
        <v>0</v>
      </c>
      <c r="H191" s="526">
        <f t="shared" si="44"/>
        <v>0</v>
      </c>
      <c r="I191" s="527">
        <f t="shared" si="44"/>
        <v>0</v>
      </c>
    </row>
    <row r="192" spans="1:9" ht="18.75" hidden="1" customHeight="1">
      <c r="A192" s="111"/>
      <c r="B192" s="528">
        <f>IF(B191&lt;B164,B164,B191)</f>
        <v>7</v>
      </c>
      <c r="C192" s="528">
        <f>IF(C191&lt;C163,C163,C191)</f>
        <v>7</v>
      </c>
      <c r="D192" s="528">
        <f t="shared" ref="D192:I192" si="45">IF(D191&lt;D163,D163,D191)</f>
        <v>0</v>
      </c>
      <c r="E192" s="528">
        <f t="shared" si="45"/>
        <v>0</v>
      </c>
      <c r="F192" s="528">
        <f t="shared" si="45"/>
        <v>0</v>
      </c>
      <c r="G192" s="528">
        <f t="shared" si="45"/>
        <v>0</v>
      </c>
      <c r="H192" s="528">
        <f t="shared" si="45"/>
        <v>0</v>
      </c>
      <c r="I192" s="529">
        <f t="shared" si="45"/>
        <v>0</v>
      </c>
    </row>
    <row r="193" spans="1:9" ht="18.75" hidden="1" customHeight="1" thickBot="1">
      <c r="A193" s="111"/>
      <c r="B193" s="528"/>
      <c r="C193" s="12">
        <f>IF(C163&gt;0,C191,C192)</f>
        <v>7</v>
      </c>
      <c r="D193" s="12">
        <f t="shared" ref="D193:I193" si="46">IF(D163&gt;0,D191,D192)</f>
        <v>0</v>
      </c>
      <c r="E193" s="12">
        <f t="shared" si="46"/>
        <v>0</v>
      </c>
      <c r="F193" s="12">
        <f t="shared" si="46"/>
        <v>0</v>
      </c>
      <c r="G193" s="12">
        <f t="shared" si="46"/>
        <v>0</v>
      </c>
      <c r="H193" s="12">
        <f t="shared" si="46"/>
        <v>0</v>
      </c>
      <c r="I193" s="530">
        <f t="shared" si="46"/>
        <v>0</v>
      </c>
    </row>
    <row r="194" spans="1:9" ht="18.75" customHeight="1" thickTop="1" thickBot="1">
      <c r="A194" s="531" t="s">
        <v>147</v>
      </c>
      <c r="B194" s="532">
        <f>C194+D194+E194+F194+G194+H194+I194</f>
        <v>7</v>
      </c>
      <c r="C194" s="532">
        <f t="shared" ref="C194:I194" si="47">IF(C197&lt;0,C193+C197,C193)</f>
        <v>7</v>
      </c>
      <c r="D194" s="532">
        <f t="shared" si="47"/>
        <v>0</v>
      </c>
      <c r="E194" s="532">
        <f t="shared" si="47"/>
        <v>0</v>
      </c>
      <c r="F194" s="532">
        <f t="shared" si="47"/>
        <v>0</v>
      </c>
      <c r="G194" s="532">
        <f t="shared" si="47"/>
        <v>0</v>
      </c>
      <c r="H194" s="532">
        <f t="shared" si="47"/>
        <v>0</v>
      </c>
      <c r="I194" s="533">
        <f t="shared" si="47"/>
        <v>0</v>
      </c>
    </row>
    <row r="195" spans="1:9" ht="18.75" customHeight="1">
      <c r="A195" s="112" t="s">
        <v>148</v>
      </c>
      <c r="B195" s="35">
        <f>Berechnung!B183</f>
        <v>0</v>
      </c>
      <c r="C195" s="21">
        <f>Berechnung!C183</f>
        <v>0</v>
      </c>
      <c r="D195" s="21">
        <f>Berechnung!D183</f>
        <v>0</v>
      </c>
      <c r="E195" s="21">
        <f>Berechnung!E183</f>
        <v>0</v>
      </c>
      <c r="F195" s="21">
        <f>Berechnung!F183</f>
        <v>0</v>
      </c>
      <c r="G195" s="21">
        <f>Berechnung!G183</f>
        <v>0</v>
      </c>
      <c r="H195" s="21">
        <f>Berechnung!H183</f>
        <v>0</v>
      </c>
      <c r="I195" s="88">
        <f>Berechnung!I183</f>
        <v>0</v>
      </c>
    </row>
    <row r="196" spans="1:9" ht="18.75" customHeight="1" thickBot="1">
      <c r="A196" s="522" t="s">
        <v>149</v>
      </c>
      <c r="B196" s="523">
        <f>B184</f>
        <v>0</v>
      </c>
      <c r="C196" s="524">
        <f>C184</f>
        <v>0</v>
      </c>
      <c r="D196" s="524">
        <f t="shared" ref="D196:I196" si="48">D184</f>
        <v>0</v>
      </c>
      <c r="E196" s="524">
        <f t="shared" si="48"/>
        <v>0</v>
      </c>
      <c r="F196" s="524">
        <f t="shared" si="48"/>
        <v>0</v>
      </c>
      <c r="G196" s="524">
        <f t="shared" si="48"/>
        <v>0</v>
      </c>
      <c r="H196" s="524">
        <f t="shared" si="48"/>
        <v>0</v>
      </c>
      <c r="I196" s="525">
        <f t="shared" si="48"/>
        <v>0</v>
      </c>
    </row>
    <row r="197" spans="1:9" ht="18.75" hidden="1" customHeight="1" thickTop="1">
      <c r="A197" s="111"/>
      <c r="B197" s="528">
        <f>B195-B196</f>
        <v>0</v>
      </c>
      <c r="C197" s="528">
        <f>IF(C195-C196&lt;0,0,C195-C196)</f>
        <v>0</v>
      </c>
      <c r="D197" s="528">
        <f t="shared" ref="D197:I197" si="49">IF(D195-D196&lt;0,0,D195-D196)</f>
        <v>0</v>
      </c>
      <c r="E197" s="528">
        <f t="shared" si="49"/>
        <v>0</v>
      </c>
      <c r="F197" s="528">
        <f t="shared" si="49"/>
        <v>0</v>
      </c>
      <c r="G197" s="528">
        <f t="shared" si="49"/>
        <v>0</v>
      </c>
      <c r="H197" s="528">
        <f t="shared" si="49"/>
        <v>0</v>
      </c>
      <c r="I197" s="529">
        <f t="shared" si="49"/>
        <v>0</v>
      </c>
    </row>
    <row r="198" spans="1:9" ht="18.75" hidden="1" customHeight="1">
      <c r="A198" s="111"/>
      <c r="B198" s="3"/>
      <c r="C198" s="6">
        <f>C195-C196</f>
        <v>0</v>
      </c>
      <c r="D198" s="6">
        <f t="shared" ref="D198:I198" si="50">D195-D196</f>
        <v>0</v>
      </c>
      <c r="E198" s="6">
        <f t="shared" si="50"/>
        <v>0</v>
      </c>
      <c r="F198" s="6">
        <f t="shared" si="50"/>
        <v>0</v>
      </c>
      <c r="G198" s="6">
        <f t="shared" si="50"/>
        <v>0</v>
      </c>
      <c r="H198" s="6">
        <f t="shared" si="50"/>
        <v>0</v>
      </c>
      <c r="I198" s="534">
        <f t="shared" si="50"/>
        <v>0</v>
      </c>
    </row>
    <row r="199" spans="1:9" ht="18.75" customHeight="1" thickTop="1" thickBot="1">
      <c r="A199" s="535" t="s">
        <v>150</v>
      </c>
      <c r="B199" s="536">
        <f>SUM(C199:I199)</f>
        <v>0</v>
      </c>
      <c r="C199" s="536">
        <f t="shared" ref="C199:I199" si="51">C198</f>
        <v>0</v>
      </c>
      <c r="D199" s="536">
        <f t="shared" si="51"/>
        <v>0</v>
      </c>
      <c r="E199" s="536">
        <f t="shared" si="51"/>
        <v>0</v>
      </c>
      <c r="F199" s="536">
        <f t="shared" si="51"/>
        <v>0</v>
      </c>
      <c r="G199" s="536">
        <f t="shared" si="51"/>
        <v>0</v>
      </c>
      <c r="H199" s="536">
        <f t="shared" si="51"/>
        <v>0</v>
      </c>
      <c r="I199" s="537">
        <f t="shared" si="51"/>
        <v>0</v>
      </c>
    </row>
    <row r="200" spans="1:9" ht="18.75" customHeight="1">
      <c r="A200" s="617" t="s">
        <v>2269</v>
      </c>
      <c r="B200" s="220"/>
      <c r="C200" s="217"/>
      <c r="D200" s="217"/>
      <c r="E200" s="217"/>
      <c r="F200" s="217"/>
      <c r="G200" s="217"/>
      <c r="H200" s="217"/>
      <c r="I200" s="217"/>
    </row>
    <row r="201" spans="1:9" ht="43.5" customHeight="1"/>
    <row r="202" spans="1:9">
      <c r="A202" s="608" t="s">
        <v>114</v>
      </c>
      <c r="B202" s="609"/>
      <c r="C202" s="327"/>
      <c r="D202" s="327"/>
      <c r="F202" s="216"/>
      <c r="G202" s="217"/>
      <c r="H202" s="217"/>
      <c r="I202" s="217"/>
    </row>
    <row r="203" spans="1:9">
      <c r="A203" s="327" t="s">
        <v>45</v>
      </c>
      <c r="B203" s="137">
        <f>IF(AND(C$58=0,C$54&lt;=100),0,IF(AND(C$58=0,C$54&lt;=1000),C$54-100,IF(AND(C$58=0,C$54&gt;1000),1000-100,IF(AND(C$58&gt;0,C$54+C$58&lt;=100),0,IF(AND(C$58&gt;0,C$58+C$54&lt;=1000),C$58+C$54-100,IF(AND(C$58&gt;0,C$58+C$54&gt;1000),1000-100))))))</f>
        <v>0</v>
      </c>
      <c r="C203" s="327" t="s">
        <v>28</v>
      </c>
      <c r="D203" s="137">
        <f>B203*20/100</f>
        <v>0</v>
      </c>
      <c r="F203" s="217"/>
      <c r="G203" s="217"/>
      <c r="H203" s="217"/>
      <c r="I203" s="215"/>
    </row>
    <row r="204" spans="1:9">
      <c r="A204" s="327" t="s">
        <v>159</v>
      </c>
      <c r="B204" s="137">
        <f>IF(C$54+C$58&lt;1000.01,0,IF(AND(C$54+C$58&gt;1000,C$54+C$58&lt;=1200),C$54+C$58-1000,IF(AND(C$54+C$58&gt;1200,C8="ja",C$54+C$58&lt;=1500),C$54+C$58-1000,IF(AND(C$54+C$58&gt;1200,C8="nein",C$54+C$58&lt;=1500),1200-1000,IF(AND(C$54+C$58&gt;=1500,C8="ja"),1500-1000,IF(AND(C$54+C$58&gt;1500,C8="nein"),1200-1000))))))</f>
        <v>0</v>
      </c>
      <c r="C204" s="327" t="s">
        <v>29</v>
      </c>
      <c r="D204" s="137">
        <f>B204*10/100</f>
        <v>0</v>
      </c>
      <c r="F204" s="217"/>
      <c r="G204" s="217"/>
      <c r="H204" s="217"/>
      <c r="I204" s="215"/>
    </row>
    <row r="205" spans="1:9">
      <c r="A205" s="610" t="s">
        <v>30</v>
      </c>
      <c r="B205" s="327"/>
      <c r="C205" s="327"/>
      <c r="D205" s="611">
        <f>SUM(D203:D204)</f>
        <v>0</v>
      </c>
      <c r="F205" s="217"/>
      <c r="G205" s="217"/>
      <c r="H205" s="217"/>
      <c r="I205" s="215"/>
    </row>
    <row r="206" spans="1:9">
      <c r="A206" s="327"/>
      <c r="B206" s="327"/>
      <c r="C206" s="327"/>
      <c r="D206" s="327"/>
      <c r="F206" s="217"/>
      <c r="G206" s="217"/>
      <c r="H206" s="217"/>
      <c r="I206" s="215"/>
    </row>
    <row r="207" spans="1:9">
      <c r="A207" s="608" t="s">
        <v>113</v>
      </c>
      <c r="B207" s="609"/>
      <c r="C207" s="327"/>
      <c r="D207" s="327"/>
      <c r="F207" s="217"/>
      <c r="G207" s="217"/>
      <c r="H207" s="217"/>
      <c r="I207" s="217"/>
    </row>
    <row r="208" spans="1:9">
      <c r="A208" s="327" t="s">
        <v>45</v>
      </c>
      <c r="B208" s="137">
        <f>IF(AND(D$58=0,D$54&lt;=100),0,IF(AND(D$58=0,D$54&lt;=1000),D$54-100,IF(AND(D$58=0,D$54&gt;1000),1000-100,IF(AND(D$58&gt;0,D$54+D$58&lt;=100),0,IF(AND(D$58&gt;0,D$58+D$54&lt;=1000),D$58+D$54-100,IF(AND(D$58&gt;0,D$58+D$54&gt;1000),1000-100))))))</f>
        <v>0</v>
      </c>
      <c r="C208" s="327" t="s">
        <v>28</v>
      </c>
      <c r="D208" s="137">
        <f>B208*20/100</f>
        <v>0</v>
      </c>
      <c r="F208" s="217"/>
      <c r="G208" s="217"/>
      <c r="H208" s="217"/>
      <c r="I208" s="215"/>
    </row>
    <row r="209" spans="1:9">
      <c r="A209" s="327" t="s">
        <v>159</v>
      </c>
      <c r="B209" s="137">
        <f>IF(D$54+D$58&lt;1000.01,0,IF(AND(D$54+D$58&gt;1000,D$54+D$58&lt;=1200),D$54+D$58-1000,IF(AND(D$54+D$58&gt;1200,D$8="ja",D$54+D$58&lt;=1500),D$54+D$58-1000,IF(AND(D$54+D$58&gt;1200,D$8="nein",D$54+D$58&lt;=1500),1200-1000,IF(AND(D$54+D$58&gt;=1500,D$8="ja"),1500-1000,IF(AND(D$54+D$58&gt;1500,D$8="nein"),1200-1000))))))</f>
        <v>0</v>
      </c>
      <c r="C209" s="327" t="s">
        <v>29</v>
      </c>
      <c r="D209" s="137">
        <f>B209*10/100</f>
        <v>0</v>
      </c>
      <c r="F209" s="217"/>
      <c r="G209" s="217"/>
      <c r="H209" s="217"/>
      <c r="I209" s="215"/>
    </row>
    <row r="210" spans="1:9">
      <c r="A210" s="610" t="s">
        <v>30</v>
      </c>
      <c r="B210" s="327"/>
      <c r="C210" s="327"/>
      <c r="D210" s="611">
        <f>SUM(D208:D209)</f>
        <v>0</v>
      </c>
      <c r="F210" s="217"/>
      <c r="G210" s="217"/>
      <c r="H210" s="217"/>
      <c r="I210" s="215"/>
    </row>
    <row r="211" spans="1:9">
      <c r="A211" s="327"/>
      <c r="B211" s="327"/>
      <c r="C211" s="327"/>
      <c r="D211" s="327"/>
      <c r="F211" s="217"/>
      <c r="G211" s="217"/>
      <c r="H211" s="217"/>
      <c r="I211" s="215"/>
    </row>
    <row r="212" spans="1:9">
      <c r="A212" s="608" t="s">
        <v>112</v>
      </c>
      <c r="B212" s="609"/>
      <c r="C212" s="327"/>
      <c r="D212" s="327"/>
      <c r="F212" s="217"/>
      <c r="G212" s="217"/>
      <c r="H212" s="217"/>
      <c r="I212" s="215"/>
    </row>
    <row r="213" spans="1:9">
      <c r="A213" s="327" t="s">
        <v>45</v>
      </c>
      <c r="B213" s="137">
        <f>IF(AND(E$58=0,E$54&lt;=100),0,IF(AND(E$58=0,E$54&lt;=1000),E$54-100,IF(AND(E$58=0,E$54&gt;1000),1000-100,IF(AND(E$58&gt;0,E$54+E$58&lt;=100),0,IF(AND(E$58&gt;0,E$58+E$54&lt;=1000),E$58+E$54-100,IF(AND(E$58&gt;0,E$58+E$54&gt;1000),1000-100))))))</f>
        <v>0</v>
      </c>
      <c r="C213" s="327" t="s">
        <v>28</v>
      </c>
      <c r="D213" s="137">
        <f>B213*20/100</f>
        <v>0</v>
      </c>
    </row>
    <row r="214" spans="1:9">
      <c r="A214" s="327" t="s">
        <v>159</v>
      </c>
      <c r="B214" s="137">
        <f>IF(E$54+E$58&lt;1000.01,0,IF(AND(E$54+E$58&gt;1000,E$54+E$58&lt;=1200),E$54+E$58-1000,IF(E$54+E$58&gt;1200,1200-1000,)))</f>
        <v>0</v>
      </c>
      <c r="C214" s="327" t="s">
        <v>29</v>
      </c>
      <c r="D214" s="137">
        <f>B214*10/100</f>
        <v>0</v>
      </c>
    </row>
    <row r="215" spans="1:9">
      <c r="A215" s="610" t="s">
        <v>30</v>
      </c>
      <c r="B215" s="327"/>
      <c r="C215" s="327"/>
      <c r="D215" s="611">
        <f>SUM(D213:D214)</f>
        <v>0</v>
      </c>
    </row>
    <row r="216" spans="1:9">
      <c r="A216" s="327"/>
      <c r="B216" s="327"/>
      <c r="C216" s="327"/>
      <c r="D216" s="327"/>
    </row>
    <row r="217" spans="1:9">
      <c r="A217" s="608" t="s">
        <v>111</v>
      </c>
      <c r="B217" s="609"/>
      <c r="C217" s="327"/>
      <c r="D217" s="327"/>
    </row>
    <row r="218" spans="1:9">
      <c r="A218" s="327" t="s">
        <v>45</v>
      </c>
      <c r="B218" s="137">
        <f>IF(AND(F$58=0,F$54&lt;=100),0,IF(AND(F$58=0,F$54&lt;=1000),F$54-100,IF(AND(F$58=0,F$54&gt;1000),1000-100,IF(AND(F$58&gt;0,F$54+F$58&lt;=100),0,IF(AND(F$58&gt;0,F$58+F$54&lt;=1000),F$58+F$54-100,IF(AND(F$58&gt;0,F$58+F$54&gt;1000),1000-100))))))</f>
        <v>0</v>
      </c>
      <c r="C218" s="327" t="s">
        <v>28</v>
      </c>
      <c r="D218" s="137">
        <f>B218*20/100</f>
        <v>0</v>
      </c>
    </row>
    <row r="219" spans="1:9">
      <c r="A219" s="327" t="s">
        <v>159</v>
      </c>
      <c r="B219" s="137">
        <f>IF(F$54+F$58&lt;1000.01,0,IF(AND(F$54+F$58&gt;1000,F$54+F$58&lt;=1200),F$54+F$58-1000,IF(F$54+F$58&gt;1200,1200-1000,)))</f>
        <v>0</v>
      </c>
      <c r="C219" s="327" t="s">
        <v>29</v>
      </c>
      <c r="D219" s="137">
        <f>B219*10/100</f>
        <v>0</v>
      </c>
    </row>
    <row r="220" spans="1:9">
      <c r="A220" s="610" t="s">
        <v>30</v>
      </c>
      <c r="B220" s="327"/>
      <c r="C220" s="327"/>
      <c r="D220" s="611">
        <f>SUM(D218:D219)</f>
        <v>0</v>
      </c>
    </row>
    <row r="221" spans="1:9">
      <c r="A221" s="327"/>
      <c r="B221" s="327"/>
      <c r="C221" s="327"/>
      <c r="D221" s="327"/>
    </row>
    <row r="222" spans="1:9">
      <c r="A222" s="608" t="s">
        <v>110</v>
      </c>
      <c r="B222" s="609"/>
      <c r="C222" s="327"/>
      <c r="D222" s="327"/>
    </row>
    <row r="223" spans="1:9">
      <c r="A223" s="327" t="s">
        <v>45</v>
      </c>
      <c r="B223" s="137">
        <f>IF(AND(G$58=0,G$54&lt;=100),0,IF(AND(G$58=0,G$54&lt;=1000),G$54-100,IF(AND(G$58=0,G$54&gt;1000),1000-100,IF(AND(G$58&gt;0,G$54+G$58&lt;=100),0,IF(AND(G$58&gt;0,G$58+G$54&lt;=1000),G$58+G$54-100,IF(AND(G$58&gt;0,G$58+G$54&gt;1000),1000-100))))))</f>
        <v>0</v>
      </c>
      <c r="C223" s="327" t="s">
        <v>28</v>
      </c>
      <c r="D223" s="137">
        <f>B223*20/100</f>
        <v>0</v>
      </c>
    </row>
    <row r="224" spans="1:9">
      <c r="A224" s="327" t="s">
        <v>159</v>
      </c>
      <c r="B224" s="137">
        <f>IF(G$54+G$58&lt;1000.01,0,IF(AND(G$54+G$58&gt;1000,G$54+G$58&lt;=1200),G$54+G$58-1000,IF(G$54+G$58&gt;1200,1200-1000,)))</f>
        <v>0</v>
      </c>
      <c r="C224" s="327" t="s">
        <v>29</v>
      </c>
      <c r="D224" s="137">
        <f>B224*10/100</f>
        <v>0</v>
      </c>
    </row>
    <row r="225" spans="1:4">
      <c r="A225" s="610" t="s">
        <v>30</v>
      </c>
      <c r="B225" s="327"/>
      <c r="C225" s="327"/>
      <c r="D225" s="611">
        <f>SUM(D223:D224)</f>
        <v>0</v>
      </c>
    </row>
    <row r="226" spans="1:4">
      <c r="A226" s="327"/>
      <c r="B226" s="327"/>
      <c r="C226" s="327"/>
      <c r="D226" s="327"/>
    </row>
    <row r="227" spans="1:4">
      <c r="A227" s="608" t="s">
        <v>108</v>
      </c>
      <c r="B227" s="609"/>
      <c r="C227" s="327"/>
      <c r="D227" s="327"/>
    </row>
    <row r="228" spans="1:4">
      <c r="A228" s="327" t="s">
        <v>45</v>
      </c>
      <c r="B228" s="137">
        <f>IF(AND(H$58=0,H$54&lt;=100),0,IF(AND(H$58=0,H$54&lt;=1000),H$54-100,IF(AND(H$58=0,H$54&gt;1000),1000-100,IF(AND(H$58&gt;0,H$54+H$58&lt;=100),0,IF(AND(H$58&gt;0,H$58+H$54&lt;=1000),H$58+H$54-100,IF(AND(H$58&gt;0,H$58+H$54&gt;1000),1000-100))))))</f>
        <v>0</v>
      </c>
      <c r="C228" s="327" t="s">
        <v>28</v>
      </c>
      <c r="D228" s="137">
        <f>B228*20/100</f>
        <v>0</v>
      </c>
    </row>
    <row r="229" spans="1:4">
      <c r="A229" s="327" t="s">
        <v>159</v>
      </c>
      <c r="B229" s="137">
        <f>IF(H$54+H$58&lt;1000.01,0,IF(AND(H$54+H$58&gt;1000,H$54+H$58&lt;=1200),H$54+H$58-1000,IF(H$54+H$58&gt;1200,1200-1000,)))</f>
        <v>0</v>
      </c>
      <c r="C229" s="327" t="s">
        <v>29</v>
      </c>
      <c r="D229" s="137">
        <f>B229*10/100</f>
        <v>0</v>
      </c>
    </row>
    <row r="230" spans="1:4">
      <c r="A230" s="610" t="s">
        <v>30</v>
      </c>
      <c r="B230" s="327"/>
      <c r="C230" s="327"/>
      <c r="D230" s="611">
        <f>SUM(D228:D229)</f>
        <v>0</v>
      </c>
    </row>
    <row r="231" spans="1:4">
      <c r="A231" s="327"/>
      <c r="B231" s="327"/>
      <c r="C231" s="327"/>
      <c r="D231" s="327"/>
    </row>
    <row r="232" spans="1:4">
      <c r="A232" s="608" t="s">
        <v>109</v>
      </c>
      <c r="B232" s="609"/>
      <c r="C232" s="327"/>
      <c r="D232" s="327"/>
    </row>
    <row r="233" spans="1:4">
      <c r="A233" s="327" t="s">
        <v>45</v>
      </c>
      <c r="B233" s="137">
        <f>IF(AND(I$58=0,I$54&lt;=100),0,IF(AND(I$58=0,I$54&lt;=1000),I$54-100,IF(AND(I$58=0,I$54&gt;1000),1000-100,IF(AND(I$58&gt;0,I$54+I$58&lt;=100),0,IF(AND(I$58&gt;0,I$58+I$54&lt;=1000),I$58+I$54-100,IF(AND(I$58&gt;0,I$58+I$54&gt;1000),1000-100))))))</f>
        <v>0</v>
      </c>
      <c r="C233" s="327" t="s">
        <v>28</v>
      </c>
      <c r="D233" s="137">
        <f>B233*20/100</f>
        <v>0</v>
      </c>
    </row>
    <row r="234" spans="1:4">
      <c r="A234" s="327" t="s">
        <v>159</v>
      </c>
      <c r="B234" s="137">
        <f>IF(I$54+I$58&lt;1000.01,0,IF(AND(I$54+I$58&gt;1000,I$54+I$58&lt;=1200),I$54+I$58-1000,IF(I$54+I$58&gt;1200,1200-1000,)))</f>
        <v>0</v>
      </c>
      <c r="C234" s="327" t="s">
        <v>29</v>
      </c>
      <c r="D234" s="137">
        <f>B234*10/100</f>
        <v>0</v>
      </c>
    </row>
    <row r="235" spans="1:4">
      <c r="A235" s="610" t="s">
        <v>30</v>
      </c>
      <c r="B235" s="327"/>
      <c r="C235" s="327"/>
      <c r="D235" s="611">
        <f>SUM(D233:D234)</f>
        <v>0</v>
      </c>
    </row>
    <row r="236" spans="1:4">
      <c r="A236" s="217"/>
      <c r="B236" s="219"/>
      <c r="C236" s="217"/>
      <c r="D236" s="217"/>
    </row>
    <row r="237" spans="1:4">
      <c r="A237" s="217"/>
      <c r="B237" s="215"/>
      <c r="C237" s="217"/>
      <c r="D237" s="215"/>
    </row>
    <row r="238" spans="1:4">
      <c r="A238" s="217"/>
      <c r="B238" s="215"/>
      <c r="C238" s="217"/>
      <c r="D238" s="215"/>
    </row>
    <row r="239" spans="1:4">
      <c r="A239" s="220"/>
      <c r="B239" s="217"/>
      <c r="C239" s="217"/>
      <c r="D239" s="215"/>
    </row>
    <row r="240" spans="1:4">
      <c r="A240" s="217"/>
      <c r="B240" s="217"/>
      <c r="C240" s="217"/>
      <c r="D240" s="217"/>
    </row>
    <row r="241" spans="1:4">
      <c r="A241" s="218"/>
      <c r="B241" s="216"/>
      <c r="C241" s="217"/>
      <c r="D241" s="217"/>
    </row>
    <row r="242" spans="1:4">
      <c r="A242" s="217"/>
      <c r="B242" s="215"/>
      <c r="C242" s="217"/>
      <c r="D242" s="215"/>
    </row>
    <row r="243" spans="1:4">
      <c r="A243" s="217"/>
      <c r="B243" s="215"/>
      <c r="C243" s="217"/>
      <c r="D243" s="215"/>
    </row>
    <row r="244" spans="1:4">
      <c r="A244" s="220"/>
      <c r="B244" s="217"/>
      <c r="C244" s="217"/>
      <c r="D244" s="215"/>
    </row>
    <row r="245" spans="1:4">
      <c r="A245" s="217"/>
      <c r="B245" s="217"/>
      <c r="C245" s="217"/>
      <c r="D245" s="217"/>
    </row>
    <row r="246" spans="1:4">
      <c r="A246" s="218"/>
      <c r="B246" s="216"/>
      <c r="C246" s="217"/>
      <c r="D246" s="217"/>
    </row>
    <row r="247" spans="1:4">
      <c r="A247" s="217"/>
      <c r="B247" s="215"/>
      <c r="C247" s="217"/>
      <c r="D247" s="215"/>
    </row>
    <row r="248" spans="1:4">
      <c r="A248" s="217"/>
      <c r="B248" s="215"/>
      <c r="C248" s="217"/>
      <c r="D248" s="215"/>
    </row>
    <row r="249" spans="1:4">
      <c r="A249" s="220"/>
      <c r="B249" s="217"/>
      <c r="C249" s="217"/>
      <c r="D249" s="215"/>
    </row>
    <row r="250" spans="1:4">
      <c r="A250" s="217"/>
      <c r="B250" s="217"/>
      <c r="C250" s="217"/>
      <c r="D250" s="217"/>
    </row>
    <row r="251" spans="1:4">
      <c r="A251" s="218"/>
      <c r="B251" s="216"/>
      <c r="C251" s="217"/>
      <c r="D251" s="217"/>
    </row>
    <row r="252" spans="1:4">
      <c r="A252" s="217"/>
      <c r="B252" s="215"/>
      <c r="C252" s="217"/>
      <c r="D252" s="215"/>
    </row>
    <row r="253" spans="1:4">
      <c r="A253" s="217"/>
      <c r="B253" s="215"/>
      <c r="C253" s="217"/>
      <c r="D253" s="215"/>
    </row>
    <row r="254" spans="1:4">
      <c r="A254" s="220"/>
      <c r="B254" s="217"/>
      <c r="C254" s="217"/>
      <c r="D254" s="215"/>
    </row>
  </sheetData>
  <sheetProtection sheet="1" objects="1" scenarios="1"/>
  <mergeCells count="1">
    <mergeCell ref="B3:C3"/>
  </mergeCells>
  <phoneticPr fontId="2" type="noConversion"/>
  <conditionalFormatting sqref="C185:I185 C21:I46 C14:C19 C180:I181 C132 D132:D133 C138:C146 E131:I133 D127:I128 C7:I7 C13:I13 B3:C3 C49:I49 C195:I196 C178:I178 D15:I19 C118:I119 C10:I11 D71:I71 C112:I112 C95:I99 C101:I110 C74:I81 C90:I93 C114:I114 C54:I70 C88:I88 D138:I138 C171:I172 C148:I148 D139:D146">
    <cfRule type="cellIs" dxfId="69" priority="25" stopIfTrue="1" operator="equal">
      <formula>0</formula>
    </cfRule>
  </conditionalFormatting>
  <conditionalFormatting sqref="B185 B171:B173 B178:B183 B195:B196 B21:B47 B145:B148 E149:I151 C47:I47 B50:C50 B13:B19 B54:B120">
    <cfRule type="cellIs" dxfId="68" priority="26" stopIfTrue="1" operator="equal">
      <formula>0</formula>
    </cfRule>
  </conditionalFormatting>
  <conditionalFormatting sqref="B176:I176 B184:I184">
    <cfRule type="cellIs" dxfId="67" priority="27" stopIfTrue="1" operator="equal">
      <formula>0</formula>
    </cfRule>
  </conditionalFormatting>
  <conditionalFormatting sqref="A150">
    <cfRule type="cellIs" dxfId="66" priority="28" stopIfTrue="1" operator="equal">
      <formula>"Mehrbedarf nach § 27 (2) SGB II"</formula>
    </cfRule>
  </conditionalFormatting>
  <conditionalFormatting sqref="C150:D151">
    <cfRule type="cellIs" dxfId="65" priority="29" stopIfTrue="1" operator="notEqual">
      <formula>0</formula>
    </cfRule>
  </conditionalFormatting>
  <conditionalFormatting sqref="C161">
    <cfRule type="expression" dxfId="64" priority="30" stopIfTrue="1">
      <formula>$C$150&gt;0</formula>
    </cfRule>
  </conditionalFormatting>
  <conditionalFormatting sqref="A151">
    <cfRule type="cellIs" dxfId="63" priority="31" stopIfTrue="1" operator="equal">
      <formula>"./. Überschuss"</formula>
    </cfRule>
  </conditionalFormatting>
  <conditionalFormatting sqref="D161">
    <cfRule type="expression" dxfId="62" priority="32" stopIfTrue="1">
      <formula>$D$150&gt;0</formula>
    </cfRule>
  </conditionalFormatting>
  <conditionalFormatting sqref="B163:I163">
    <cfRule type="cellIs" dxfId="61" priority="33" stopIfTrue="1" operator="equal">
      <formula>0</formula>
    </cfRule>
  </conditionalFormatting>
  <conditionalFormatting sqref="B199:I199">
    <cfRule type="cellIs" dxfId="60" priority="34" stopIfTrue="1" operator="equal">
      <formula>0</formula>
    </cfRule>
  </conditionalFormatting>
  <conditionalFormatting sqref="C111:I111">
    <cfRule type="cellIs" dxfId="59" priority="23" stopIfTrue="1" operator="equal">
      <formula>0</formula>
    </cfRule>
  </conditionalFormatting>
  <conditionalFormatting sqref="A49">
    <cfRule type="cellIs" dxfId="58" priority="22" stopIfTrue="1" operator="equal">
      <formula>0</formula>
    </cfRule>
  </conditionalFormatting>
  <conditionalFormatting sqref="C115:D115">
    <cfRule type="cellIs" dxfId="57" priority="21" stopIfTrue="1" operator="equal">
      <formula>0</formula>
    </cfRule>
  </conditionalFormatting>
  <conditionalFormatting sqref="E115:I115">
    <cfRule type="cellIs" dxfId="56" priority="20" stopIfTrue="1" operator="equal">
      <formula>0</formula>
    </cfRule>
  </conditionalFormatting>
  <conditionalFormatting sqref="C116:D116">
    <cfRule type="cellIs" dxfId="55" priority="17" stopIfTrue="1" operator="equal">
      <formula>0</formula>
    </cfRule>
  </conditionalFormatting>
  <conditionalFormatting sqref="E116:I116">
    <cfRule type="cellIs" dxfId="54" priority="16" stopIfTrue="1" operator="equal">
      <formula>0</formula>
    </cfRule>
  </conditionalFormatting>
  <conditionalFormatting sqref="C71">
    <cfRule type="cellIs" dxfId="53" priority="15" stopIfTrue="1" operator="equal">
      <formula>0</formula>
    </cfRule>
  </conditionalFormatting>
  <conditionalFormatting sqref="C120:I120">
    <cfRule type="cellIs" dxfId="52" priority="14" stopIfTrue="1" operator="equal">
      <formula>0</formula>
    </cfRule>
  </conditionalFormatting>
  <conditionalFormatting sqref="C82:I82">
    <cfRule type="cellIs" dxfId="51" priority="13" stopIfTrue="1" operator="equal">
      <formula>0</formula>
    </cfRule>
  </conditionalFormatting>
  <conditionalFormatting sqref="C113:I113">
    <cfRule type="cellIs" dxfId="50" priority="12" stopIfTrue="1" operator="equal">
      <formula>0</formula>
    </cfRule>
  </conditionalFormatting>
  <conditionalFormatting sqref="C87:I87">
    <cfRule type="cellIs" dxfId="49" priority="11" stopIfTrue="1" operator="equal">
      <formula>0</formula>
    </cfRule>
  </conditionalFormatting>
  <conditionalFormatting sqref="C154:I157">
    <cfRule type="cellIs" dxfId="48" priority="9" stopIfTrue="1" operator="equal">
      <formula>0</formula>
    </cfRule>
  </conditionalFormatting>
  <conditionalFormatting sqref="B153:B158">
    <cfRule type="cellIs" dxfId="47" priority="10" stopIfTrue="1" operator="equal">
      <formula>0</formula>
    </cfRule>
  </conditionalFormatting>
  <conditionalFormatting sqref="C117:I117">
    <cfRule type="cellIs" dxfId="46" priority="8" stopIfTrue="1" operator="equal">
      <formula>0</formula>
    </cfRule>
  </conditionalFormatting>
  <conditionalFormatting sqref="C83:I83">
    <cfRule type="cellIs" dxfId="45" priority="7" stopIfTrue="1" operator="equal">
      <formula>0</formula>
    </cfRule>
  </conditionalFormatting>
  <conditionalFormatting sqref="C85:I85">
    <cfRule type="cellIs" dxfId="44" priority="6" stopIfTrue="1" operator="equal">
      <formula>0</formula>
    </cfRule>
  </conditionalFormatting>
  <conditionalFormatting sqref="C86:I86">
    <cfRule type="cellIs" dxfId="43" priority="5" stopIfTrue="1" operator="equal">
      <formula>0</formula>
    </cfRule>
  </conditionalFormatting>
  <conditionalFormatting sqref="C147">
    <cfRule type="cellIs" dxfId="42" priority="4" stopIfTrue="1" operator="equal">
      <formula>0</formula>
    </cfRule>
  </conditionalFormatting>
  <conditionalFormatting sqref="D147">
    <cfRule type="cellIs" dxfId="41" priority="3" stopIfTrue="1" operator="equal">
      <formula>0</formula>
    </cfRule>
  </conditionalFormatting>
  <conditionalFormatting sqref="E147:I147">
    <cfRule type="cellIs" dxfId="40" priority="2" stopIfTrue="1" operator="equal">
      <formula>0</formula>
    </cfRule>
  </conditionalFormatting>
  <conditionalFormatting sqref="C137:D137">
    <cfRule type="cellIs" dxfId="39" priority="1" stopIfTrue="1" operator="equal">
      <formula>0</formula>
    </cfRule>
  </conditionalFormatting>
  <pageMargins left="1.0629921259842521" right="0.6692913385826772" top="0.15748031496062992" bottom="0.11811023622047245" header="0.51181102362204722" footer="0.51181102362204722"/>
  <pageSetup paperSize="9" scale="60" orientation="portrait" r:id="rId1"/>
  <headerFooter alignWithMargins="0"/>
</worksheet>
</file>

<file path=xl/worksheets/sheet14.xml><?xml version="1.0" encoding="utf-8"?>
<worksheet xmlns="http://schemas.openxmlformats.org/spreadsheetml/2006/main" xmlns:r="http://schemas.openxmlformats.org/officeDocument/2006/relationships">
  <dimension ref="A1:I33"/>
  <sheetViews>
    <sheetView showGridLines="0" showRowColHeaders="0" showZeros="0" zoomScale="125" workbookViewId="0">
      <selection activeCell="C45" sqref="C45"/>
    </sheetView>
  </sheetViews>
  <sheetFormatPr baseColWidth="10" defaultColWidth="11.42578125" defaultRowHeight="12.75"/>
  <cols>
    <col min="1" max="1" width="31.140625" style="483" customWidth="1"/>
    <col min="2" max="2" width="13.140625" style="483" customWidth="1"/>
    <col min="3" max="16384" width="11.42578125" style="483"/>
  </cols>
  <sheetData>
    <row r="1" spans="1:9" ht="18">
      <c r="A1" s="480" t="s">
        <v>138</v>
      </c>
      <c r="B1" s="481"/>
      <c r="C1" s="481"/>
      <c r="D1" s="481"/>
      <c r="E1" s="481"/>
      <c r="F1" s="481"/>
      <c r="G1" s="482"/>
      <c r="H1" s="482"/>
      <c r="I1" s="482"/>
    </row>
    <row r="2" spans="1:9" ht="16.5">
      <c r="A2" s="484" t="s">
        <v>139</v>
      </c>
      <c r="B2" s="559">
        <f>Zusatzeingaben!B2</f>
        <v>0</v>
      </c>
      <c r="C2" s="485"/>
      <c r="F2" s="484" t="s">
        <v>33</v>
      </c>
      <c r="G2" s="486">
        <f>Zusatzeingaben!E2</f>
        <v>43344</v>
      </c>
    </row>
    <row r="3" spans="1:9" ht="18">
      <c r="A3" s="487" t="s">
        <v>140</v>
      </c>
      <c r="B3" s="488"/>
      <c r="C3" s="489"/>
      <c r="D3" s="489"/>
      <c r="E3" s="489"/>
      <c r="F3" s="489"/>
      <c r="G3" s="489"/>
      <c r="H3" s="489"/>
      <c r="I3" s="489"/>
    </row>
    <row r="4" spans="1:9">
      <c r="A4" s="490"/>
      <c r="B4" s="491" t="s">
        <v>1</v>
      </c>
      <c r="C4" s="492" t="str">
        <f>Berechnung!C167</f>
        <v>Antragsteller</v>
      </c>
      <c r="D4" s="492" t="str">
        <f>Berechnung!D167</f>
        <v>Partner(in)</v>
      </c>
      <c r="E4" s="492" t="str">
        <f>Berechnung!E167</f>
        <v>Kind 1</v>
      </c>
      <c r="F4" s="492" t="str">
        <f>Berechnung!F167</f>
        <v>Kind 2</v>
      </c>
      <c r="G4" s="492" t="str">
        <f>Berechnung!G167</f>
        <v>Kind 3</v>
      </c>
      <c r="H4" s="492" t="str">
        <f>Berechnung!H167</f>
        <v>Kind 4</v>
      </c>
      <c r="I4" s="492" t="str">
        <f>Berechnung!I167</f>
        <v>Kind 5</v>
      </c>
    </row>
    <row r="5" spans="1:9">
      <c r="A5" s="490" t="s">
        <v>153</v>
      </c>
      <c r="B5" s="508">
        <f>Berechnung!B169</f>
        <v>416</v>
      </c>
      <c r="C5" s="494">
        <f>Berechnung!C169</f>
        <v>416</v>
      </c>
      <c r="D5" s="494">
        <f>Berechnung!D169</f>
        <v>0</v>
      </c>
      <c r="E5" s="494">
        <f>Berechnung!E169</f>
        <v>0</v>
      </c>
      <c r="F5" s="494">
        <f>Berechnung!F169</f>
        <v>0</v>
      </c>
      <c r="G5" s="494">
        <f>Berechnung!G169</f>
        <v>0</v>
      </c>
      <c r="H5" s="494">
        <f>Berechnung!H169</f>
        <v>0</v>
      </c>
      <c r="I5" s="494">
        <f>Berechnung!I169</f>
        <v>0</v>
      </c>
    </row>
    <row r="6" spans="1:9">
      <c r="A6" s="490" t="s">
        <v>132</v>
      </c>
      <c r="B6" s="508">
        <f t="shared" ref="B6:B12" si="0">SUM(C6:I6)</f>
        <v>0</v>
      </c>
      <c r="C6" s="494">
        <f>Berechnung!C170</f>
        <v>0</v>
      </c>
      <c r="D6" s="494">
        <f>Berechnung!D170</f>
        <v>0</v>
      </c>
      <c r="E6" s="494">
        <f>Berechnung!E170</f>
        <v>0</v>
      </c>
      <c r="F6" s="494">
        <f>Berechnung!F170</f>
        <v>0</v>
      </c>
      <c r="G6" s="494">
        <f>Berechnung!G170</f>
        <v>0</v>
      </c>
      <c r="H6" s="494">
        <f>Berechnung!H170</f>
        <v>0</v>
      </c>
      <c r="I6" s="494">
        <f>Berechnung!I170</f>
        <v>0</v>
      </c>
    </row>
    <row r="7" spans="1:9" ht="13.5" thickBot="1">
      <c r="A7" s="495" t="s">
        <v>133</v>
      </c>
      <c r="B7" s="566">
        <f t="shared" si="0"/>
        <v>0</v>
      </c>
      <c r="C7" s="496">
        <f>Berechnung!C171</f>
        <v>0</v>
      </c>
      <c r="D7" s="496">
        <f>Berechnung!D171</f>
        <v>0</v>
      </c>
      <c r="E7" s="496">
        <f>Berechnung!E171</f>
        <v>0</v>
      </c>
      <c r="F7" s="496">
        <f>Berechnung!F171</f>
        <v>0</v>
      </c>
      <c r="G7" s="496">
        <f>Berechnung!G171</f>
        <v>0</v>
      </c>
      <c r="H7" s="496">
        <f>Berechnung!H171</f>
        <v>0</v>
      </c>
      <c r="I7" s="496">
        <f>Berechnung!I171</f>
        <v>0</v>
      </c>
    </row>
    <row r="8" spans="1:9" ht="13.5" thickTop="1">
      <c r="A8" s="497" t="s">
        <v>134</v>
      </c>
      <c r="B8" s="564">
        <f t="shared" si="0"/>
        <v>416</v>
      </c>
      <c r="C8" s="564">
        <f>Berechnung!C175</f>
        <v>416</v>
      </c>
      <c r="D8" s="564">
        <f>Berechnung!D175</f>
        <v>0</v>
      </c>
      <c r="E8" s="564">
        <f>Berechnung!E175</f>
        <v>0</v>
      </c>
      <c r="F8" s="564">
        <f>Berechnung!F175</f>
        <v>0</v>
      </c>
      <c r="G8" s="564">
        <f>Berechnung!G175</f>
        <v>0</v>
      </c>
      <c r="H8" s="564">
        <f>Berechnung!H175</f>
        <v>0</v>
      </c>
      <c r="I8" s="564">
        <f>Berechnung!I175</f>
        <v>0</v>
      </c>
    </row>
    <row r="9" spans="1:9">
      <c r="A9" s="490" t="s">
        <v>154</v>
      </c>
      <c r="B9" s="508"/>
      <c r="C9" s="494">
        <f>Berechnung!C177</f>
        <v>0</v>
      </c>
      <c r="D9" s="494">
        <f>Berechnung!D177</f>
        <v>0</v>
      </c>
      <c r="E9" s="494">
        <f>Berechnung!E177</f>
        <v>0</v>
      </c>
      <c r="F9" s="494">
        <f>Berechnung!F177</f>
        <v>0</v>
      </c>
      <c r="G9" s="494">
        <f>Berechnung!G177</f>
        <v>0</v>
      </c>
      <c r="H9" s="494">
        <f>Berechnung!H177</f>
        <v>0</v>
      </c>
      <c r="I9" s="494">
        <f>Berechnung!I177</f>
        <v>0</v>
      </c>
    </row>
    <row r="10" spans="1:9">
      <c r="A10" s="490" t="s">
        <v>135</v>
      </c>
      <c r="B10" s="508">
        <f t="shared" si="0"/>
        <v>0</v>
      </c>
      <c r="C10" s="494">
        <f>Berechnung!C179</f>
        <v>0</v>
      </c>
      <c r="D10" s="494">
        <f>Berechnung!D179</f>
        <v>0</v>
      </c>
      <c r="E10" s="494">
        <f>Berechnung!E179</f>
        <v>0</v>
      </c>
      <c r="F10" s="494">
        <f>Berechnung!F179</f>
        <v>0</v>
      </c>
      <c r="G10" s="494">
        <f>Berechnung!G179</f>
        <v>0</v>
      </c>
      <c r="H10" s="494">
        <f>Berechnung!H179</f>
        <v>0</v>
      </c>
      <c r="I10" s="494">
        <f>Berechnung!I179</f>
        <v>0</v>
      </c>
    </row>
    <row r="11" spans="1:9" ht="13.5" thickBot="1">
      <c r="A11" s="495" t="s">
        <v>136</v>
      </c>
      <c r="B11" s="566">
        <f t="shared" si="0"/>
        <v>0</v>
      </c>
      <c r="C11" s="496">
        <f>Berechnung!C180</f>
        <v>0</v>
      </c>
      <c r="D11" s="496">
        <f>Berechnung!D180</f>
        <v>0</v>
      </c>
      <c r="E11" s="496">
        <f>Berechnung!E180</f>
        <v>0</v>
      </c>
      <c r="F11" s="496">
        <f>Berechnung!F180</f>
        <v>0</v>
      </c>
      <c r="G11" s="496">
        <f>Berechnung!G180</f>
        <v>0</v>
      </c>
      <c r="H11" s="496">
        <f>Berechnung!H180</f>
        <v>0</v>
      </c>
      <c r="I11" s="496">
        <f>Berechnung!I180</f>
        <v>0</v>
      </c>
    </row>
    <row r="12" spans="1:9" ht="13.5" thickTop="1">
      <c r="A12" s="497" t="s">
        <v>155</v>
      </c>
      <c r="B12" s="564">
        <f t="shared" si="0"/>
        <v>0</v>
      </c>
      <c r="C12" s="564">
        <f>Berechnung!C183</f>
        <v>0</v>
      </c>
      <c r="D12" s="564">
        <f>Berechnung!D183</f>
        <v>0</v>
      </c>
      <c r="E12" s="564">
        <f>Berechnung!E183</f>
        <v>0</v>
      </c>
      <c r="F12" s="564">
        <f>Berechnung!F183</f>
        <v>0</v>
      </c>
      <c r="G12" s="564">
        <f>Berechnung!G183</f>
        <v>0</v>
      </c>
      <c r="H12" s="564">
        <f>Berechnung!H183</f>
        <v>0</v>
      </c>
      <c r="I12" s="564">
        <f>Berechnung!I183</f>
        <v>0</v>
      </c>
    </row>
    <row r="13" spans="1:9" ht="12.75" customHeight="1"/>
    <row r="14" spans="1:9" ht="18">
      <c r="A14" s="498" t="s">
        <v>141</v>
      </c>
      <c r="B14" s="499"/>
      <c r="C14" s="500"/>
      <c r="D14" s="500"/>
      <c r="E14" s="500"/>
      <c r="F14" s="500"/>
      <c r="G14" s="500"/>
      <c r="H14" s="500"/>
      <c r="I14" s="501"/>
    </row>
    <row r="15" spans="1:9">
      <c r="A15" s="493"/>
      <c r="B15" s="491" t="s">
        <v>1</v>
      </c>
      <c r="C15" s="492" t="str">
        <f>Zusatzeingaben!C4</f>
        <v>Antragsteller</v>
      </c>
      <c r="D15" s="492" t="str">
        <f>Zusatzeingaben!D4</f>
        <v>Partner(in)</v>
      </c>
      <c r="E15" s="492" t="str">
        <f>Zusatzeingaben!E4</f>
        <v>Kind 1</v>
      </c>
      <c r="F15" s="492" t="str">
        <f>Zusatzeingaben!F4</f>
        <v>Kind 2</v>
      </c>
      <c r="G15" s="492" t="str">
        <f>Zusatzeingaben!G4</f>
        <v>Kind 3</v>
      </c>
      <c r="H15" s="492" t="str">
        <f>Zusatzeingaben!H4</f>
        <v>Kind 4</v>
      </c>
      <c r="I15" s="492" t="str">
        <f>Zusatzeingaben!I4</f>
        <v>Kind 5</v>
      </c>
    </row>
    <row r="16" spans="1:9">
      <c r="A16" s="493" t="s">
        <v>153</v>
      </c>
      <c r="B16" s="508">
        <f>SUM(C16:I16)</f>
        <v>409</v>
      </c>
      <c r="C16" s="494">
        <f>Änderung!C170</f>
        <v>409</v>
      </c>
      <c r="D16" s="494">
        <f>Änderung!D170</f>
        <v>0</v>
      </c>
      <c r="E16" s="494">
        <f>Änderung!E170</f>
        <v>0</v>
      </c>
      <c r="F16" s="494">
        <f>Änderung!F170</f>
        <v>0</v>
      </c>
      <c r="G16" s="494">
        <f>Änderung!G170</f>
        <v>0</v>
      </c>
      <c r="H16" s="494">
        <f>Änderung!H170</f>
        <v>0</v>
      </c>
      <c r="I16" s="494">
        <f>Änderung!I170</f>
        <v>0</v>
      </c>
    </row>
    <row r="17" spans="1:9">
      <c r="A17" s="493" t="s">
        <v>132</v>
      </c>
      <c r="B17" s="508">
        <f t="shared" ref="B17:B23" si="1">SUM(C17:I17)</f>
        <v>0</v>
      </c>
      <c r="C17" s="494">
        <f>Änderung!C171</f>
        <v>0</v>
      </c>
      <c r="D17" s="494">
        <f>Änderung!D171</f>
        <v>0</v>
      </c>
      <c r="E17" s="494">
        <f>Änderung!E171</f>
        <v>0</v>
      </c>
      <c r="F17" s="494">
        <f>Änderung!F171</f>
        <v>0</v>
      </c>
      <c r="G17" s="494">
        <f>Änderung!G171</f>
        <v>0</v>
      </c>
      <c r="H17" s="494">
        <f>Änderung!H171</f>
        <v>0</v>
      </c>
      <c r="I17" s="494">
        <f>Änderung!I171</f>
        <v>0</v>
      </c>
    </row>
    <row r="18" spans="1:9" ht="13.5" thickBot="1">
      <c r="A18" s="502" t="s">
        <v>133</v>
      </c>
      <c r="B18" s="566">
        <f t="shared" si="1"/>
        <v>0</v>
      </c>
      <c r="C18" s="496">
        <f>Änderung!C172</f>
        <v>0</v>
      </c>
      <c r="D18" s="496">
        <f>Änderung!D172</f>
        <v>0</v>
      </c>
      <c r="E18" s="496">
        <f>Änderung!E172</f>
        <v>0</v>
      </c>
      <c r="F18" s="496">
        <f>Änderung!F172</f>
        <v>0</v>
      </c>
      <c r="G18" s="496">
        <f>Änderung!G172</f>
        <v>0</v>
      </c>
      <c r="H18" s="496">
        <f>Änderung!H172</f>
        <v>0</v>
      </c>
      <c r="I18" s="496">
        <f>Änderung!I172</f>
        <v>0</v>
      </c>
    </row>
    <row r="19" spans="1:9" ht="13.5" thickTop="1">
      <c r="A19" s="497" t="s">
        <v>134</v>
      </c>
      <c r="B19" s="564">
        <f t="shared" si="1"/>
        <v>409</v>
      </c>
      <c r="C19" s="564">
        <f>Änderung!C176</f>
        <v>409</v>
      </c>
      <c r="D19" s="564">
        <f>Änderung!D176</f>
        <v>0</v>
      </c>
      <c r="E19" s="564">
        <f>Änderung!E176</f>
        <v>0</v>
      </c>
      <c r="F19" s="564">
        <f>Änderung!F176</f>
        <v>0</v>
      </c>
      <c r="G19" s="564">
        <f>Änderung!G176</f>
        <v>0</v>
      </c>
      <c r="H19" s="564">
        <f>Änderung!H176</f>
        <v>0</v>
      </c>
      <c r="I19" s="564">
        <f>Änderung!I176</f>
        <v>0</v>
      </c>
    </row>
    <row r="20" spans="1:9">
      <c r="A20" s="493" t="s">
        <v>154</v>
      </c>
      <c r="B20" s="508"/>
      <c r="C20" s="494">
        <f>Änderung!C178</f>
        <v>0</v>
      </c>
      <c r="D20" s="494">
        <f>Änderung!D178</f>
        <v>0</v>
      </c>
      <c r="E20" s="494">
        <f>Änderung!E178</f>
        <v>0</v>
      </c>
      <c r="F20" s="494">
        <f>Änderung!F178</f>
        <v>0</v>
      </c>
      <c r="G20" s="494">
        <f>Änderung!G178</f>
        <v>0</v>
      </c>
      <c r="H20" s="494">
        <f>Änderung!H178</f>
        <v>0</v>
      </c>
      <c r="I20" s="494">
        <f>Änderung!I178</f>
        <v>0</v>
      </c>
    </row>
    <row r="21" spans="1:9">
      <c r="A21" s="493" t="s">
        <v>135</v>
      </c>
      <c r="B21" s="508">
        <f t="shared" si="1"/>
        <v>0</v>
      </c>
      <c r="C21" s="494">
        <f>Änderung!C180</f>
        <v>0</v>
      </c>
      <c r="D21" s="494">
        <f>Änderung!D180</f>
        <v>0</v>
      </c>
      <c r="E21" s="494">
        <f>Änderung!E180</f>
        <v>0</v>
      </c>
      <c r="F21" s="494">
        <f>Änderung!F180</f>
        <v>0</v>
      </c>
      <c r="G21" s="494">
        <f>Änderung!G180</f>
        <v>0</v>
      </c>
      <c r="H21" s="494">
        <f>Änderung!H180</f>
        <v>0</v>
      </c>
      <c r="I21" s="494">
        <f>Änderung!I180</f>
        <v>0</v>
      </c>
    </row>
    <row r="22" spans="1:9" ht="13.5" thickBot="1">
      <c r="A22" s="502" t="s">
        <v>136</v>
      </c>
      <c r="B22" s="566">
        <f t="shared" si="1"/>
        <v>0</v>
      </c>
      <c r="C22" s="496">
        <f>Änderung!C181</f>
        <v>0</v>
      </c>
      <c r="D22" s="496">
        <f>Änderung!D181</f>
        <v>0</v>
      </c>
      <c r="E22" s="496">
        <f>Änderung!E181</f>
        <v>0</v>
      </c>
      <c r="F22" s="496">
        <f>Änderung!F181</f>
        <v>0</v>
      </c>
      <c r="G22" s="496">
        <f>Änderung!G181</f>
        <v>0</v>
      </c>
      <c r="H22" s="496">
        <f>Änderung!H181</f>
        <v>0</v>
      </c>
      <c r="I22" s="496">
        <f>Änderung!I181</f>
        <v>0</v>
      </c>
    </row>
    <row r="23" spans="1:9" ht="13.5" thickTop="1">
      <c r="A23" s="497" t="s">
        <v>155</v>
      </c>
      <c r="B23" s="564">
        <f t="shared" si="1"/>
        <v>0</v>
      </c>
      <c r="C23" s="564">
        <f>Änderung!C184</f>
        <v>0</v>
      </c>
      <c r="D23" s="564">
        <f>Änderung!D184</f>
        <v>0</v>
      </c>
      <c r="E23" s="564">
        <f>Änderung!E184</f>
        <v>0</v>
      </c>
      <c r="F23" s="564">
        <f>Änderung!F184</f>
        <v>0</v>
      </c>
      <c r="G23" s="564">
        <f>Änderung!G184</f>
        <v>0</v>
      </c>
      <c r="H23" s="564">
        <f>Änderung!H184</f>
        <v>0</v>
      </c>
      <c r="I23" s="564">
        <f>Änderung!I184</f>
        <v>0</v>
      </c>
    </row>
    <row r="25" spans="1:9" ht="17.25" customHeight="1">
      <c r="A25" s="503" t="s">
        <v>142</v>
      </c>
      <c r="B25" s="499"/>
      <c r="C25" s="499"/>
      <c r="D25" s="499"/>
      <c r="E25" s="499"/>
      <c r="F25" s="499"/>
      <c r="G25" s="499"/>
      <c r="H25" s="499"/>
      <c r="I25" s="504"/>
    </row>
    <row r="26" spans="1:9">
      <c r="A26" s="493"/>
      <c r="B26" s="491" t="s">
        <v>1</v>
      </c>
      <c r="C26" s="492" t="str">
        <f>Zusatzeingaben!C4</f>
        <v>Antragsteller</v>
      </c>
      <c r="D26" s="492" t="str">
        <f>Zusatzeingaben!D4</f>
        <v>Partner(in)</v>
      </c>
      <c r="E26" s="492" t="str">
        <f>Zusatzeingaben!E4</f>
        <v>Kind 1</v>
      </c>
      <c r="F26" s="492" t="str">
        <f>Zusatzeingaben!F4</f>
        <v>Kind 2</v>
      </c>
      <c r="G26" s="492" t="str">
        <f>Zusatzeingaben!G4</f>
        <v>Kind 3</v>
      </c>
      <c r="H26" s="492" t="str">
        <f>Zusatzeingaben!H4</f>
        <v>Kind 4</v>
      </c>
      <c r="I26" s="492" t="str">
        <f>Zusatzeingaben!I4</f>
        <v>Kind 5</v>
      </c>
    </row>
    <row r="27" spans="1:9">
      <c r="A27" s="493" t="s">
        <v>145</v>
      </c>
      <c r="B27" s="508">
        <f t="shared" ref="B27:B32" si="2">SUM(C27:I27)</f>
        <v>416</v>
      </c>
      <c r="C27" s="494">
        <f>Änderung!C189</f>
        <v>416</v>
      </c>
      <c r="D27" s="494">
        <f>Änderung!D189</f>
        <v>0</v>
      </c>
      <c r="E27" s="494">
        <f>Änderung!E189</f>
        <v>0</v>
      </c>
      <c r="F27" s="494">
        <f>Änderung!F189</f>
        <v>0</v>
      </c>
      <c r="G27" s="494">
        <f>Änderung!G189</f>
        <v>0</v>
      </c>
      <c r="H27" s="494">
        <f>Änderung!H189</f>
        <v>0</v>
      </c>
      <c r="I27" s="494">
        <f>Änderung!I189</f>
        <v>0</v>
      </c>
    </row>
    <row r="28" spans="1:9" ht="13.5" thickBot="1">
      <c r="A28" s="502" t="s">
        <v>146</v>
      </c>
      <c r="B28" s="566">
        <f t="shared" si="2"/>
        <v>409</v>
      </c>
      <c r="C28" s="496">
        <f>Änderung!C190</f>
        <v>409</v>
      </c>
      <c r="D28" s="496">
        <f>Änderung!D190</f>
        <v>0</v>
      </c>
      <c r="E28" s="496">
        <f>Änderung!E190</f>
        <v>0</v>
      </c>
      <c r="F28" s="496">
        <f>Änderung!F190</f>
        <v>0</v>
      </c>
      <c r="G28" s="496">
        <f>Änderung!G190</f>
        <v>0</v>
      </c>
      <c r="H28" s="496">
        <f>Änderung!H190</f>
        <v>0</v>
      </c>
      <c r="I28" s="496">
        <f>Änderung!I190</f>
        <v>0</v>
      </c>
    </row>
    <row r="29" spans="1:9" ht="13.5" thickTop="1">
      <c r="A29" s="505" t="s">
        <v>147</v>
      </c>
      <c r="B29" s="565">
        <f t="shared" si="2"/>
        <v>7</v>
      </c>
      <c r="C29" s="565">
        <f>Änderung!C194</f>
        <v>7</v>
      </c>
      <c r="D29" s="565">
        <f>Änderung!D194</f>
        <v>0</v>
      </c>
      <c r="E29" s="565">
        <f>Änderung!E194</f>
        <v>0</v>
      </c>
      <c r="F29" s="565">
        <f>Änderung!F194</f>
        <v>0</v>
      </c>
      <c r="G29" s="565">
        <f>Änderung!G194</f>
        <v>0</v>
      </c>
      <c r="H29" s="565">
        <f>Änderung!H194</f>
        <v>0</v>
      </c>
      <c r="I29" s="565">
        <f>Änderung!I194</f>
        <v>0</v>
      </c>
    </row>
    <row r="30" spans="1:9">
      <c r="A30" s="493" t="s">
        <v>148</v>
      </c>
      <c r="B30" s="508">
        <f t="shared" si="2"/>
        <v>0</v>
      </c>
      <c r="C30" s="494">
        <f>Änderung!C195</f>
        <v>0</v>
      </c>
      <c r="D30" s="494">
        <f>Änderung!D195</f>
        <v>0</v>
      </c>
      <c r="E30" s="494">
        <f>Änderung!E195</f>
        <v>0</v>
      </c>
      <c r="F30" s="494">
        <f>Änderung!F195</f>
        <v>0</v>
      </c>
      <c r="G30" s="494">
        <f>Änderung!G195</f>
        <v>0</v>
      </c>
      <c r="H30" s="494">
        <f>Änderung!H195</f>
        <v>0</v>
      </c>
      <c r="I30" s="494">
        <f>Änderung!I195</f>
        <v>0</v>
      </c>
    </row>
    <row r="31" spans="1:9" ht="13.5" thickBot="1">
      <c r="A31" s="502" t="s">
        <v>149</v>
      </c>
      <c r="B31" s="566">
        <f t="shared" si="2"/>
        <v>0</v>
      </c>
      <c r="C31" s="496">
        <f>Änderung!C196</f>
        <v>0</v>
      </c>
      <c r="D31" s="496">
        <f>Änderung!D196</f>
        <v>0</v>
      </c>
      <c r="E31" s="496">
        <f>Änderung!E196</f>
        <v>0</v>
      </c>
      <c r="F31" s="496">
        <f>Änderung!F196</f>
        <v>0</v>
      </c>
      <c r="G31" s="496">
        <f>Änderung!G196</f>
        <v>0</v>
      </c>
      <c r="H31" s="496">
        <f>Änderung!H196</f>
        <v>0</v>
      </c>
      <c r="I31" s="496">
        <f>Änderung!I196</f>
        <v>0</v>
      </c>
    </row>
    <row r="32" spans="1:9" ht="13.5" thickTop="1">
      <c r="A32" s="505" t="s">
        <v>150</v>
      </c>
      <c r="B32" s="565">
        <f t="shared" si="2"/>
        <v>0</v>
      </c>
      <c r="C32" s="565">
        <f>Änderung!C199</f>
        <v>0</v>
      </c>
      <c r="D32" s="565">
        <f>Änderung!D199</f>
        <v>0</v>
      </c>
      <c r="E32" s="565">
        <f>Änderung!E199</f>
        <v>0</v>
      </c>
      <c r="F32" s="565">
        <f>Änderung!F199</f>
        <v>0</v>
      </c>
      <c r="G32" s="565">
        <f>Änderung!G199</f>
        <v>0</v>
      </c>
      <c r="H32" s="565">
        <f>Änderung!H199</f>
        <v>0</v>
      </c>
      <c r="I32" s="565">
        <f>Änderung!I199</f>
        <v>0</v>
      </c>
    </row>
    <row r="33" spans="1:9">
      <c r="A33" s="506"/>
      <c r="B33" s="507"/>
      <c r="C33" s="506"/>
      <c r="D33" s="506"/>
      <c r="E33" s="506"/>
      <c r="F33" s="506"/>
      <c r="G33" s="506"/>
      <c r="H33" s="506"/>
      <c r="I33" s="506"/>
    </row>
  </sheetData>
  <sheetProtection sheet="1" objects="1" scenarios="1"/>
  <phoneticPr fontId="2" type="noConversion"/>
  <pageMargins left="0.98425196850393704" right="0.98425196850393704" top="1.1811023622047245" bottom="0.39370078740157483" header="0.51181102362204722" footer="0.51181102362204722"/>
  <pageSetup paperSize="9" orientation="landscape" horizontalDpi="4294967293" verticalDpi="4294967293" r:id="rId1"/>
  <headerFooter alignWithMargins="0"/>
</worksheet>
</file>

<file path=xl/worksheets/sheet15.xml><?xml version="1.0" encoding="utf-8"?>
<worksheet xmlns="http://schemas.openxmlformats.org/spreadsheetml/2006/main" xmlns:r="http://schemas.openxmlformats.org/officeDocument/2006/relationships">
  <sheetPr codeName="Tabelle4"/>
  <dimension ref="B3:J166"/>
  <sheetViews>
    <sheetView showGridLines="0" topLeftCell="A124" workbookViewId="0">
      <selection activeCell="D140" sqref="D140"/>
    </sheetView>
  </sheetViews>
  <sheetFormatPr baseColWidth="10" defaultColWidth="11.42578125" defaultRowHeight="14.25"/>
  <cols>
    <col min="1" max="1" width="11.42578125" style="7"/>
    <col min="2" max="2" width="28.7109375" style="7" customWidth="1"/>
    <col min="3" max="3" width="27.85546875" style="7" customWidth="1"/>
    <col min="4" max="4" width="12.42578125" style="7" customWidth="1"/>
    <col min="5" max="5" width="15.5703125" style="7" customWidth="1"/>
    <col min="6" max="6" width="11.5703125" style="7" bestFit="1" customWidth="1"/>
    <col min="7" max="7" width="11.42578125" style="7"/>
    <col min="8" max="8" width="12.7109375" style="7" bestFit="1" customWidth="1"/>
    <col min="9" max="9" width="11.5703125" style="7" bestFit="1" customWidth="1"/>
    <col min="10" max="16384" width="11.42578125" style="7"/>
  </cols>
  <sheetData>
    <row r="3" spans="2:9" ht="18">
      <c r="B3" s="865" t="s">
        <v>43</v>
      </c>
    </row>
    <row r="5" spans="2:9" ht="20.100000000000001" customHeight="1">
      <c r="B5" s="870" t="s">
        <v>46</v>
      </c>
      <c r="C5" s="870"/>
      <c r="D5" s="870"/>
      <c r="E5" s="870" t="s">
        <v>47</v>
      </c>
      <c r="F5" s="870"/>
      <c r="G5" s="870"/>
      <c r="H5" s="870" t="s">
        <v>48</v>
      </c>
      <c r="I5" s="761"/>
    </row>
    <row r="7" spans="2:9" ht="18" customHeight="1">
      <c r="B7" s="971">
        <v>38353</v>
      </c>
      <c r="C7" s="872">
        <v>345</v>
      </c>
      <c r="D7" s="761"/>
      <c r="E7" s="971">
        <v>38353</v>
      </c>
      <c r="F7" s="872">
        <v>311</v>
      </c>
      <c r="G7" s="761"/>
      <c r="H7" s="971">
        <v>38353</v>
      </c>
      <c r="I7" s="872">
        <v>276</v>
      </c>
    </row>
    <row r="8" spans="2:9" ht="18" customHeight="1">
      <c r="B8" s="971">
        <v>39264</v>
      </c>
      <c r="C8" s="872">
        <v>347</v>
      </c>
      <c r="D8" s="761"/>
      <c r="E8" s="971">
        <v>39264</v>
      </c>
      <c r="F8" s="872">
        <v>312</v>
      </c>
      <c r="G8" s="761"/>
      <c r="H8" s="971">
        <v>39264</v>
      </c>
      <c r="I8" s="872">
        <v>278</v>
      </c>
    </row>
    <row r="9" spans="2:9" ht="18" customHeight="1">
      <c r="B9" s="971">
        <v>39630</v>
      </c>
      <c r="C9" s="872">
        <v>351</v>
      </c>
      <c r="D9" s="761"/>
      <c r="E9" s="971">
        <v>39630</v>
      </c>
      <c r="F9" s="872">
        <v>316</v>
      </c>
      <c r="G9" s="761"/>
      <c r="H9" s="971">
        <v>39630</v>
      </c>
      <c r="I9" s="872">
        <v>281</v>
      </c>
    </row>
    <row r="10" spans="2:9" ht="18" customHeight="1">
      <c r="B10" s="971">
        <v>39995</v>
      </c>
      <c r="C10" s="872">
        <v>359</v>
      </c>
      <c r="D10" s="761"/>
      <c r="E10" s="971">
        <v>39995</v>
      </c>
      <c r="F10" s="872">
        <v>323</v>
      </c>
      <c r="G10" s="761"/>
      <c r="H10" s="971">
        <v>39995</v>
      </c>
      <c r="I10" s="872">
        <v>287</v>
      </c>
    </row>
    <row r="11" spans="2:9" ht="18" customHeight="1">
      <c r="B11" s="971">
        <v>40544</v>
      </c>
      <c r="C11" s="872">
        <v>364</v>
      </c>
      <c r="D11" s="761"/>
      <c r="E11" s="971">
        <v>40544</v>
      </c>
      <c r="F11" s="872">
        <v>328</v>
      </c>
      <c r="G11" s="761"/>
      <c r="H11" s="971">
        <v>40544</v>
      </c>
      <c r="I11" s="872">
        <v>291</v>
      </c>
    </row>
    <row r="12" spans="2:9" ht="18" customHeight="1">
      <c r="B12" s="971">
        <v>40909</v>
      </c>
      <c r="C12" s="872">
        <v>374</v>
      </c>
      <c r="D12" s="761"/>
      <c r="E12" s="971">
        <v>40909</v>
      </c>
      <c r="F12" s="872">
        <v>337</v>
      </c>
      <c r="G12" s="761"/>
      <c r="H12" s="971">
        <v>40909</v>
      </c>
      <c r="I12" s="872">
        <v>299</v>
      </c>
    </row>
    <row r="13" spans="2:9" ht="18" customHeight="1">
      <c r="B13" s="971">
        <v>41275</v>
      </c>
      <c r="C13" s="872">
        <v>382</v>
      </c>
      <c r="D13" s="872"/>
      <c r="E13" s="971">
        <v>41275</v>
      </c>
      <c r="F13" s="872">
        <v>345</v>
      </c>
      <c r="G13" s="872"/>
      <c r="H13" s="971">
        <v>41275</v>
      </c>
      <c r="I13" s="872">
        <v>306</v>
      </c>
    </row>
    <row r="14" spans="2:9" ht="18" customHeight="1">
      <c r="B14" s="971">
        <v>41640</v>
      </c>
      <c r="C14" s="872">
        <v>391</v>
      </c>
      <c r="D14" s="872"/>
      <c r="E14" s="971">
        <v>41640</v>
      </c>
      <c r="F14" s="872">
        <v>353</v>
      </c>
      <c r="G14" s="872"/>
      <c r="H14" s="971">
        <v>41640</v>
      </c>
      <c r="I14" s="872">
        <v>313</v>
      </c>
    </row>
    <row r="15" spans="2:9" ht="18" customHeight="1">
      <c r="B15" s="971">
        <v>42005</v>
      </c>
      <c r="C15" s="872">
        <v>399</v>
      </c>
      <c r="D15" s="872"/>
      <c r="E15" s="971">
        <v>42005</v>
      </c>
      <c r="F15" s="872">
        <v>360</v>
      </c>
      <c r="G15" s="872"/>
      <c r="H15" s="971">
        <v>42005</v>
      </c>
      <c r="I15" s="872">
        <v>320</v>
      </c>
    </row>
    <row r="16" spans="2:9" ht="18" customHeight="1">
      <c r="B16" s="971">
        <v>42370</v>
      </c>
      <c r="C16" s="872">
        <v>404</v>
      </c>
      <c r="D16" s="872"/>
      <c r="E16" s="971">
        <v>42370</v>
      </c>
      <c r="F16" s="872">
        <v>364</v>
      </c>
      <c r="G16" s="872"/>
      <c r="H16" s="971">
        <v>42370</v>
      </c>
      <c r="I16" s="872">
        <v>324</v>
      </c>
    </row>
    <row r="17" spans="2:9" ht="18" customHeight="1">
      <c r="B17" s="972">
        <v>42736</v>
      </c>
      <c r="C17" s="871">
        <v>409</v>
      </c>
      <c r="D17" s="871"/>
      <c r="E17" s="972">
        <v>42736</v>
      </c>
      <c r="F17" s="871">
        <v>368</v>
      </c>
      <c r="G17" s="871"/>
      <c r="H17" s="972">
        <v>42736</v>
      </c>
      <c r="I17" s="871">
        <v>327</v>
      </c>
    </row>
    <row r="18" spans="2:9" ht="18" customHeight="1">
      <c r="B18" s="972">
        <v>43101</v>
      </c>
      <c r="C18" s="871">
        <v>416</v>
      </c>
      <c r="D18" s="871"/>
      <c r="E18" s="972">
        <v>43101</v>
      </c>
      <c r="F18" s="871">
        <v>374</v>
      </c>
      <c r="G18" s="871"/>
      <c r="H18" s="972">
        <v>43101</v>
      </c>
      <c r="I18" s="871">
        <v>332</v>
      </c>
    </row>
    <row r="19" spans="2:9" ht="18" customHeight="1">
      <c r="B19" s="972">
        <v>43466</v>
      </c>
      <c r="C19" s="871">
        <v>424</v>
      </c>
      <c r="D19" s="871"/>
      <c r="E19" s="972">
        <v>43466</v>
      </c>
      <c r="F19" s="871">
        <v>382</v>
      </c>
      <c r="G19" s="871"/>
      <c r="H19" s="972">
        <v>43466</v>
      </c>
      <c r="I19" s="871">
        <v>339</v>
      </c>
    </row>
    <row r="20" spans="2:9" ht="18" customHeight="1">
      <c r="B20" s="972"/>
      <c r="C20" s="871"/>
      <c r="D20" s="871"/>
      <c r="E20" s="972"/>
      <c r="F20" s="871"/>
      <c r="G20" s="871"/>
      <c r="H20" s="972"/>
      <c r="I20" s="871"/>
    </row>
    <row r="21" spans="2:9" ht="18" customHeight="1">
      <c r="B21" s="8"/>
      <c r="C21" s="9"/>
      <c r="D21" s="9"/>
      <c r="E21" s="8"/>
      <c r="F21" s="9"/>
      <c r="G21" s="9"/>
      <c r="H21" s="8"/>
      <c r="I21" s="9"/>
    </row>
    <row r="22" spans="2:9" ht="18" customHeight="1"/>
    <row r="23" spans="2:9" ht="20.100000000000001" customHeight="1">
      <c r="B23" s="870" t="s">
        <v>49</v>
      </c>
      <c r="C23" s="870"/>
      <c r="D23" s="870"/>
      <c r="E23" s="870" t="s">
        <v>50</v>
      </c>
      <c r="F23" s="870"/>
      <c r="G23" s="870"/>
      <c r="H23" s="870" t="s">
        <v>51</v>
      </c>
      <c r="I23" s="870"/>
    </row>
    <row r="24" spans="2:9">
      <c r="F24" s="9"/>
    </row>
    <row r="25" spans="2:9" ht="18" customHeight="1">
      <c r="B25" s="971">
        <v>38353</v>
      </c>
      <c r="C25" s="872">
        <v>276</v>
      </c>
      <c r="D25" s="761"/>
      <c r="E25" s="971">
        <v>38353</v>
      </c>
      <c r="F25" s="872">
        <v>207</v>
      </c>
      <c r="G25" s="761"/>
      <c r="H25" s="971">
        <v>38353</v>
      </c>
      <c r="I25" s="872">
        <v>207</v>
      </c>
    </row>
    <row r="26" spans="2:9" ht="18" customHeight="1">
      <c r="B26" s="971">
        <v>39264</v>
      </c>
      <c r="C26" s="872">
        <v>278</v>
      </c>
      <c r="D26" s="761"/>
      <c r="E26" s="971">
        <v>39264</v>
      </c>
      <c r="F26" s="872">
        <v>208</v>
      </c>
      <c r="G26" s="761"/>
      <c r="H26" s="971">
        <v>39264</v>
      </c>
      <c r="I26" s="872">
        <v>208</v>
      </c>
    </row>
    <row r="27" spans="2:9" ht="18" customHeight="1">
      <c r="B27" s="971">
        <v>39630</v>
      </c>
      <c r="C27" s="872">
        <v>281</v>
      </c>
      <c r="D27" s="761"/>
      <c r="E27" s="971">
        <v>39630</v>
      </c>
      <c r="F27" s="872">
        <v>211</v>
      </c>
      <c r="G27" s="761"/>
      <c r="H27" s="971">
        <v>39630</v>
      </c>
      <c r="I27" s="872">
        <v>211</v>
      </c>
    </row>
    <row r="28" spans="2:9" ht="18" customHeight="1">
      <c r="B28" s="971">
        <v>39995</v>
      </c>
      <c r="C28" s="872">
        <v>287</v>
      </c>
      <c r="D28" s="761"/>
      <c r="E28" s="971">
        <v>39995</v>
      </c>
      <c r="F28" s="872">
        <v>251</v>
      </c>
      <c r="G28" s="761"/>
      <c r="H28" s="971">
        <v>39995</v>
      </c>
      <c r="I28" s="872">
        <v>215</v>
      </c>
    </row>
    <row r="29" spans="2:9" ht="18" customHeight="1">
      <c r="B29" s="971">
        <v>40544</v>
      </c>
      <c r="C29" s="872">
        <v>287</v>
      </c>
      <c r="D29" s="761"/>
      <c r="E29" s="971">
        <v>40544</v>
      </c>
      <c r="F29" s="872">
        <v>251</v>
      </c>
      <c r="G29" s="761"/>
      <c r="H29" s="971">
        <v>40544</v>
      </c>
      <c r="I29" s="872">
        <v>215</v>
      </c>
    </row>
    <row r="30" spans="2:9" ht="18" customHeight="1">
      <c r="B30" s="971">
        <v>40909</v>
      </c>
      <c r="C30" s="872">
        <v>287</v>
      </c>
      <c r="D30" s="872"/>
      <c r="E30" s="971">
        <v>40909</v>
      </c>
      <c r="F30" s="872">
        <v>251</v>
      </c>
      <c r="G30" s="872"/>
      <c r="H30" s="971">
        <v>40909</v>
      </c>
      <c r="I30" s="872">
        <v>219</v>
      </c>
    </row>
    <row r="31" spans="2:9" ht="18" customHeight="1">
      <c r="B31" s="971">
        <v>41275</v>
      </c>
      <c r="C31" s="872">
        <v>289</v>
      </c>
      <c r="D31" s="872"/>
      <c r="E31" s="971">
        <v>41275</v>
      </c>
      <c r="F31" s="872">
        <v>255</v>
      </c>
      <c r="G31" s="872"/>
      <c r="H31" s="971">
        <v>41275</v>
      </c>
      <c r="I31" s="872">
        <v>224</v>
      </c>
    </row>
    <row r="32" spans="2:9" ht="18" customHeight="1">
      <c r="B32" s="971">
        <v>41640</v>
      </c>
      <c r="C32" s="872">
        <v>296</v>
      </c>
      <c r="D32" s="872"/>
      <c r="E32" s="971">
        <v>41640</v>
      </c>
      <c r="F32" s="872">
        <v>261</v>
      </c>
      <c r="G32" s="872"/>
      <c r="H32" s="971">
        <v>41640</v>
      </c>
      <c r="I32" s="872">
        <v>229</v>
      </c>
    </row>
    <row r="33" spans="2:9" ht="18" customHeight="1">
      <c r="B33" s="971">
        <v>42005</v>
      </c>
      <c r="C33" s="872">
        <v>302</v>
      </c>
      <c r="D33" s="872"/>
      <c r="E33" s="971">
        <v>42005</v>
      </c>
      <c r="F33" s="872">
        <v>267</v>
      </c>
      <c r="G33" s="872"/>
      <c r="H33" s="971">
        <v>42005</v>
      </c>
      <c r="I33" s="872">
        <v>234</v>
      </c>
    </row>
    <row r="34" spans="2:9" ht="18" customHeight="1">
      <c r="B34" s="971">
        <v>42370</v>
      </c>
      <c r="C34" s="872">
        <v>306</v>
      </c>
      <c r="D34" s="872"/>
      <c r="E34" s="971">
        <v>42370</v>
      </c>
      <c r="F34" s="872">
        <v>270</v>
      </c>
      <c r="G34" s="872"/>
      <c r="H34" s="971">
        <v>42370</v>
      </c>
      <c r="I34" s="872">
        <v>237</v>
      </c>
    </row>
    <row r="35" spans="2:9" ht="18" customHeight="1">
      <c r="B35" s="972">
        <v>42736</v>
      </c>
      <c r="C35" s="871">
        <v>311</v>
      </c>
      <c r="D35" s="871"/>
      <c r="E35" s="972">
        <v>42736</v>
      </c>
      <c r="F35" s="871">
        <v>291</v>
      </c>
      <c r="G35" s="871"/>
      <c r="H35" s="972">
        <v>42736</v>
      </c>
      <c r="I35" s="871">
        <v>237</v>
      </c>
    </row>
    <row r="36" spans="2:9" ht="18" customHeight="1">
      <c r="B36" s="972">
        <v>43101</v>
      </c>
      <c r="C36" s="871">
        <v>316</v>
      </c>
      <c r="D36" s="871"/>
      <c r="E36" s="972">
        <v>43101</v>
      </c>
      <c r="F36" s="871">
        <v>296</v>
      </c>
      <c r="G36" s="871"/>
      <c r="H36" s="972">
        <v>43101</v>
      </c>
      <c r="I36" s="871">
        <v>240</v>
      </c>
    </row>
    <row r="37" spans="2:9" ht="18" customHeight="1">
      <c r="B37" s="972">
        <v>43466</v>
      </c>
      <c r="C37" s="871">
        <v>322</v>
      </c>
      <c r="D37" s="871"/>
      <c r="E37" s="972">
        <v>43466</v>
      </c>
      <c r="F37" s="871">
        <v>302</v>
      </c>
      <c r="G37" s="871"/>
      <c r="H37" s="972">
        <v>43466</v>
      </c>
      <c r="I37" s="871">
        <v>245</v>
      </c>
    </row>
    <row r="38" spans="2:9" ht="18" customHeight="1">
      <c r="B38" s="972"/>
      <c r="C38" s="871"/>
      <c r="D38" s="871"/>
      <c r="E38" s="972"/>
      <c r="F38" s="871"/>
      <c r="G38" s="871"/>
      <c r="H38" s="972"/>
      <c r="I38" s="871"/>
    </row>
    <row r="39" spans="2:9">
      <c r="B39" s="8"/>
      <c r="C39" s="9"/>
      <c r="D39" s="9"/>
      <c r="E39" s="8"/>
      <c r="F39" s="9"/>
      <c r="G39" s="9"/>
      <c r="H39" s="8"/>
      <c r="I39" s="9"/>
    </row>
    <row r="40" spans="2:9" ht="18">
      <c r="B40" s="866" t="s">
        <v>172</v>
      </c>
      <c r="C40" s="867"/>
      <c r="D40" s="9"/>
      <c r="E40" s="8"/>
      <c r="F40" s="9"/>
      <c r="G40" s="9"/>
      <c r="H40" s="8"/>
      <c r="I40" s="9"/>
    </row>
    <row r="41" spans="2:9">
      <c r="B41" s="8"/>
      <c r="C41" s="9"/>
      <c r="D41" s="9"/>
      <c r="E41" s="8"/>
      <c r="F41" s="9"/>
      <c r="G41" s="9"/>
      <c r="H41" s="8"/>
      <c r="I41" s="9"/>
    </row>
    <row r="42" spans="2:9">
      <c r="B42" s="585" t="s">
        <v>160</v>
      </c>
      <c r="C42" s="586" t="s">
        <v>161</v>
      </c>
      <c r="D42" s="2171" t="s">
        <v>162</v>
      </c>
      <c r="E42" s="2171"/>
      <c r="F42" s="9"/>
      <c r="G42" s="9"/>
      <c r="H42" s="8"/>
      <c r="I42" s="9"/>
    </row>
    <row r="43" spans="2:9" ht="15">
      <c r="B43" s="587"/>
      <c r="C43" s="587"/>
      <c r="D43" s="587"/>
      <c r="E43" s="587"/>
      <c r="F43" s="9"/>
      <c r="G43" s="9"/>
      <c r="H43" s="8"/>
      <c r="I43" s="9"/>
    </row>
    <row r="44" spans="2:9" ht="15" customHeight="1">
      <c r="B44" s="585" t="s">
        <v>160</v>
      </c>
      <c r="C44" s="586" t="s">
        <v>163</v>
      </c>
      <c r="D44" s="2171" t="s">
        <v>162</v>
      </c>
      <c r="E44" s="2171"/>
      <c r="F44" s="9"/>
      <c r="G44" s="9"/>
      <c r="H44" s="8"/>
      <c r="I44" s="9"/>
    </row>
    <row r="45" spans="2:9" ht="15" customHeight="1">
      <c r="B45" s="585"/>
      <c r="C45" s="586"/>
      <c r="D45" s="588" t="s">
        <v>164</v>
      </c>
      <c r="E45" s="598" t="s">
        <v>173</v>
      </c>
      <c r="F45" s="9"/>
      <c r="G45" s="9"/>
      <c r="H45" s="8"/>
      <c r="I45" s="9"/>
    </row>
    <row r="46" spans="2:9" ht="24">
      <c r="B46" s="600" t="s">
        <v>174</v>
      </c>
      <c r="C46" s="601" t="s">
        <v>166</v>
      </c>
      <c r="D46" s="2169">
        <v>0.1</v>
      </c>
      <c r="E46" s="2170">
        <f>Zusatzeingaben!C233*D46</f>
        <v>41.6</v>
      </c>
      <c r="F46" s="9"/>
      <c r="G46" s="9"/>
      <c r="H46" s="8"/>
      <c r="I46" s="9"/>
    </row>
    <row r="47" spans="2:9" ht="24">
      <c r="B47" s="600" t="s">
        <v>175</v>
      </c>
      <c r="C47" s="601" t="s">
        <v>166</v>
      </c>
      <c r="D47" s="2172"/>
      <c r="E47" s="2174"/>
      <c r="F47" s="9"/>
      <c r="G47" s="9"/>
      <c r="H47" s="8"/>
      <c r="I47" s="9"/>
    </row>
    <row r="48" spans="2:9" ht="48">
      <c r="B48" s="599" t="s">
        <v>176</v>
      </c>
      <c r="C48" s="601" t="s">
        <v>166</v>
      </c>
      <c r="D48" s="2172"/>
      <c r="E48" s="2174"/>
      <c r="F48" s="9"/>
      <c r="G48" s="9"/>
      <c r="H48" s="8"/>
      <c r="I48" s="9"/>
    </row>
    <row r="49" spans="2:9" ht="48">
      <c r="B49" s="599" t="s">
        <v>177</v>
      </c>
      <c r="C49" s="601" t="s">
        <v>166</v>
      </c>
      <c r="D49" s="2172"/>
      <c r="E49" s="2174"/>
      <c r="F49" s="9"/>
      <c r="G49" s="9"/>
      <c r="H49" s="8"/>
      <c r="I49" s="9"/>
    </row>
    <row r="50" spans="2:9" ht="48">
      <c r="B50" s="599" t="s">
        <v>178</v>
      </c>
      <c r="C50" s="601" t="s">
        <v>166</v>
      </c>
      <c r="D50" s="2172"/>
      <c r="E50" s="2174"/>
      <c r="F50" s="9"/>
      <c r="G50" s="9"/>
      <c r="H50" s="8"/>
      <c r="I50" s="9"/>
    </row>
    <row r="51" spans="2:9">
      <c r="B51" s="602" t="s">
        <v>305</v>
      </c>
      <c r="C51" s="600" t="s">
        <v>167</v>
      </c>
      <c r="D51" s="2173"/>
      <c r="E51" s="2175"/>
      <c r="F51" s="9"/>
      <c r="G51" s="9"/>
      <c r="H51" s="8"/>
      <c r="I51" s="9"/>
    </row>
    <row r="52" spans="2:9" ht="15">
      <c r="B52" s="590"/>
      <c r="C52" s="591"/>
      <c r="D52" s="592"/>
      <c r="E52" s="593"/>
      <c r="F52" s="9"/>
      <c r="G52" s="9"/>
      <c r="H52" s="8"/>
      <c r="I52" s="9"/>
    </row>
    <row r="53" spans="2:9">
      <c r="B53" s="585" t="s">
        <v>160</v>
      </c>
      <c r="C53" s="586" t="s">
        <v>161</v>
      </c>
      <c r="D53" s="2171" t="s">
        <v>162</v>
      </c>
      <c r="E53" s="2171"/>
      <c r="F53" s="9"/>
      <c r="G53" s="9"/>
      <c r="H53" s="8"/>
      <c r="I53" s="9"/>
    </row>
    <row r="54" spans="2:9">
      <c r="B54" s="585"/>
      <c r="C54" s="585"/>
      <c r="D54" s="588" t="s">
        <v>164</v>
      </c>
      <c r="E54" s="589" t="s">
        <v>165</v>
      </c>
      <c r="F54" s="9"/>
      <c r="G54" s="9"/>
      <c r="H54" s="8"/>
      <c r="I54" s="9"/>
    </row>
    <row r="55" spans="2:9" ht="33" customHeight="1">
      <c r="B55" s="603" t="s">
        <v>306</v>
      </c>
      <c r="C55" s="600" t="s">
        <v>168</v>
      </c>
      <c r="D55" s="2169">
        <v>0.2</v>
      </c>
      <c r="E55" s="2170">
        <f>Zusatzeingaben!C233*D55</f>
        <v>83.2</v>
      </c>
      <c r="F55" s="9"/>
      <c r="G55" s="9"/>
      <c r="H55" s="8"/>
      <c r="I55" s="9"/>
    </row>
    <row r="56" spans="2:9" ht="48">
      <c r="B56" s="599" t="s">
        <v>169</v>
      </c>
      <c r="C56" s="600" t="s">
        <v>170</v>
      </c>
      <c r="D56" s="2169"/>
      <c r="E56" s="2170"/>
      <c r="F56" s="9"/>
      <c r="G56" s="9"/>
      <c r="H56" s="8"/>
      <c r="I56" s="9"/>
    </row>
    <row r="57" spans="2:9" ht="15">
      <c r="B57" s="594"/>
      <c r="C57" s="594"/>
      <c r="D57" s="594"/>
      <c r="E57" s="594"/>
      <c r="F57" s="9"/>
      <c r="G57" s="9"/>
      <c r="H57" s="8"/>
      <c r="I57" s="9"/>
    </row>
    <row r="58" spans="2:9">
      <c r="B58" s="10" t="s">
        <v>171</v>
      </c>
      <c r="C58" s="595"/>
      <c r="D58" s="596"/>
      <c r="E58" s="596"/>
      <c r="F58" s="9"/>
      <c r="G58" s="9"/>
      <c r="H58" s="8"/>
      <c r="I58" s="9"/>
    </row>
    <row r="59" spans="2:9">
      <c r="B59" s="595"/>
      <c r="C59" s="595"/>
      <c r="D59" s="596"/>
      <c r="E59" s="596"/>
      <c r="F59" s="9"/>
      <c r="G59" s="9"/>
      <c r="H59" s="8"/>
      <c r="I59" s="9"/>
    </row>
    <row r="60" spans="2:9">
      <c r="B60" s="11" t="s">
        <v>179</v>
      </c>
      <c r="C60" s="595"/>
      <c r="D60" s="596"/>
      <c r="E60" s="596"/>
      <c r="F60" s="9"/>
      <c r="G60" s="9"/>
      <c r="H60" s="8"/>
      <c r="I60" s="9"/>
    </row>
    <row r="61" spans="2:9" ht="15">
      <c r="B61" s="11" t="s">
        <v>182</v>
      </c>
      <c r="C61" s="595"/>
      <c r="D61" s="597"/>
      <c r="E61" s="597"/>
      <c r="F61" s="9"/>
      <c r="G61" s="9"/>
      <c r="H61" s="8"/>
      <c r="I61" s="9"/>
    </row>
    <row r="62" spans="2:9">
      <c r="B62" s="8"/>
      <c r="C62" s="9"/>
      <c r="D62" s="9"/>
      <c r="E62" s="8"/>
      <c r="F62" s="9"/>
      <c r="G62" s="9"/>
      <c r="H62" s="8"/>
      <c r="I62" s="9"/>
    </row>
    <row r="63" spans="2:9" ht="18">
      <c r="B63" s="1739" t="s">
        <v>181</v>
      </c>
      <c r="C63" s="9"/>
      <c r="D63" s="9"/>
      <c r="E63" s="8"/>
      <c r="F63" s="9"/>
      <c r="G63" s="9"/>
      <c r="H63" s="8"/>
      <c r="I63" s="9"/>
    </row>
    <row r="64" spans="2:9">
      <c r="B64" s="8"/>
      <c r="C64" s="9"/>
      <c r="E64" s="8"/>
      <c r="F64" s="9"/>
      <c r="H64" s="8"/>
    </row>
    <row r="65" spans="2:8" ht="15" hidden="1">
      <c r="B65" s="15" t="s">
        <v>63</v>
      </c>
      <c r="E65" s="8"/>
      <c r="F65" s="9"/>
      <c r="H65" s="8"/>
    </row>
    <row r="66" spans="2:8" hidden="1">
      <c r="H66" s="8"/>
    </row>
    <row r="67" spans="2:8" hidden="1">
      <c r="B67" s="9">
        <v>224</v>
      </c>
      <c r="C67" s="9">
        <v>5.54</v>
      </c>
      <c r="E67" s="9"/>
      <c r="F67" s="9"/>
      <c r="H67" s="8"/>
    </row>
    <row r="68" spans="2:8" hidden="1">
      <c r="B68" s="9">
        <v>229</v>
      </c>
      <c r="C68" s="9">
        <v>5.66</v>
      </c>
      <c r="E68" s="9"/>
      <c r="F68" s="9"/>
    </row>
    <row r="69" spans="2:8" hidden="1">
      <c r="B69" s="9">
        <v>234</v>
      </c>
      <c r="C69" s="9">
        <v>5.78</v>
      </c>
      <c r="E69" s="9"/>
      <c r="F69" s="9"/>
    </row>
    <row r="70" spans="2:8" hidden="1">
      <c r="B70" s="9">
        <v>255</v>
      </c>
      <c r="C70" s="9">
        <v>10.33</v>
      </c>
      <c r="E70" s="9"/>
      <c r="F70" s="9"/>
    </row>
    <row r="71" spans="2:8" hidden="1">
      <c r="B71" s="9">
        <v>261</v>
      </c>
      <c r="C71" s="9">
        <v>10.58</v>
      </c>
      <c r="E71" s="9"/>
      <c r="F71" s="9"/>
    </row>
    <row r="72" spans="2:8" hidden="1">
      <c r="B72" s="9">
        <v>267</v>
      </c>
      <c r="C72" s="9">
        <v>10.82</v>
      </c>
      <c r="E72" s="9"/>
      <c r="F72" s="9"/>
    </row>
    <row r="73" spans="2:8" hidden="1">
      <c r="B73" s="9">
        <v>289</v>
      </c>
      <c r="C73" s="9">
        <v>13.31</v>
      </c>
      <c r="E73" s="9"/>
      <c r="F73" s="9"/>
    </row>
    <row r="74" spans="2:8" hidden="1">
      <c r="B74" s="9">
        <v>296</v>
      </c>
      <c r="C74" s="9">
        <v>13.63</v>
      </c>
      <c r="E74" s="9"/>
      <c r="F74" s="9"/>
    </row>
    <row r="75" spans="2:8" hidden="1">
      <c r="B75" s="9">
        <v>302</v>
      </c>
      <c r="C75" s="9">
        <v>13.9</v>
      </c>
      <c r="E75" s="9"/>
      <c r="F75" s="9"/>
    </row>
    <row r="76" spans="2:8" hidden="1">
      <c r="B76" s="9">
        <v>306</v>
      </c>
      <c r="C76" s="9">
        <v>23.61</v>
      </c>
      <c r="E76" s="9"/>
      <c r="F76" s="9"/>
    </row>
    <row r="77" spans="2:8" hidden="1">
      <c r="B77" s="9">
        <v>313</v>
      </c>
      <c r="C77" s="9">
        <v>24.32</v>
      </c>
      <c r="E77" s="9"/>
      <c r="F77" s="9"/>
    </row>
    <row r="78" spans="2:8" hidden="1">
      <c r="B78" s="9">
        <v>320</v>
      </c>
      <c r="C78" s="9">
        <v>24.81</v>
      </c>
      <c r="E78" s="9"/>
      <c r="F78" s="9"/>
    </row>
    <row r="79" spans="2:8" hidden="1">
      <c r="B79" s="9">
        <v>345</v>
      </c>
      <c r="C79" s="9">
        <v>26.56</v>
      </c>
      <c r="E79" s="9"/>
      <c r="F79" s="9"/>
    </row>
    <row r="80" spans="2:8" hidden="1">
      <c r="B80" s="9">
        <v>353</v>
      </c>
      <c r="C80" s="9">
        <v>27.35</v>
      </c>
      <c r="E80" s="9"/>
      <c r="F80" s="9"/>
    </row>
    <row r="81" spans="2:9" hidden="1">
      <c r="B81" s="9">
        <v>360</v>
      </c>
      <c r="C81" s="9">
        <v>27.91</v>
      </c>
      <c r="E81" s="9"/>
      <c r="F81" s="9"/>
    </row>
    <row r="82" spans="2:9" hidden="1">
      <c r="B82" s="9">
        <v>382</v>
      </c>
      <c r="C82" s="9">
        <v>29.51</v>
      </c>
      <c r="E82" s="9"/>
      <c r="F82" s="9"/>
    </row>
    <row r="83" spans="2:9" hidden="1">
      <c r="B83" s="9">
        <v>391</v>
      </c>
      <c r="C83" s="9">
        <v>30.39</v>
      </c>
      <c r="E83" s="9"/>
      <c r="F83" s="9"/>
    </row>
    <row r="84" spans="2:9" hidden="1">
      <c r="B84" s="9">
        <v>399</v>
      </c>
      <c r="C84" s="9">
        <v>31.01</v>
      </c>
    </row>
    <row r="85" spans="2:9">
      <c r="B85" s="9"/>
      <c r="C85" s="9"/>
    </row>
    <row r="86" spans="2:9" ht="18">
      <c r="B86" s="868" t="s">
        <v>196</v>
      </c>
      <c r="C86" s="867"/>
    </row>
    <row r="87" spans="2:9">
      <c r="B87" s="9"/>
      <c r="C87" s="9"/>
    </row>
    <row r="88" spans="2:9" ht="18" customHeight="1">
      <c r="B88" s="871" t="s">
        <v>193</v>
      </c>
      <c r="C88" s="872"/>
      <c r="D88" s="761"/>
      <c r="E88" s="870" t="s">
        <v>194</v>
      </c>
      <c r="F88" s="761"/>
      <c r="G88" s="761"/>
      <c r="H88" s="870" t="s">
        <v>195</v>
      </c>
    </row>
    <row r="89" spans="2:9" ht="18" customHeight="1">
      <c r="C89" s="9"/>
    </row>
    <row r="90" spans="2:9" ht="18" customHeight="1">
      <c r="B90" s="971">
        <v>41275</v>
      </c>
      <c r="C90" s="872">
        <v>184</v>
      </c>
      <c r="D90" s="761"/>
      <c r="E90" s="971">
        <v>41275</v>
      </c>
      <c r="F90" s="872">
        <v>184</v>
      </c>
      <c r="G90" s="761"/>
      <c r="H90" s="971">
        <v>41275</v>
      </c>
      <c r="I90" s="872">
        <v>186</v>
      </c>
    </row>
    <row r="91" spans="2:9" ht="18" customHeight="1">
      <c r="B91" s="971">
        <v>42370</v>
      </c>
      <c r="C91" s="872">
        <v>190</v>
      </c>
      <c r="D91" s="761"/>
      <c r="E91" s="971">
        <v>42370</v>
      </c>
      <c r="F91" s="872">
        <v>190</v>
      </c>
      <c r="G91" s="761"/>
      <c r="H91" s="971">
        <v>42370</v>
      </c>
      <c r="I91" s="872">
        <v>192</v>
      </c>
    </row>
    <row r="92" spans="2:9" ht="18" customHeight="1">
      <c r="B92" s="972">
        <v>42736</v>
      </c>
      <c r="C92" s="871">
        <v>192</v>
      </c>
      <c r="D92" s="870"/>
      <c r="E92" s="972">
        <v>42736</v>
      </c>
      <c r="F92" s="871">
        <v>192</v>
      </c>
      <c r="G92" s="870"/>
      <c r="H92" s="972">
        <v>42736</v>
      </c>
      <c r="I92" s="871">
        <v>194</v>
      </c>
    </row>
    <row r="93" spans="2:9" ht="18" customHeight="1">
      <c r="B93" s="972">
        <v>43101</v>
      </c>
      <c r="C93" s="871">
        <v>194</v>
      </c>
      <c r="D93" s="870"/>
      <c r="E93" s="972">
        <v>43101</v>
      </c>
      <c r="F93" s="871">
        <v>194</v>
      </c>
      <c r="G93" s="870"/>
      <c r="H93" s="972">
        <v>43101</v>
      </c>
      <c r="I93" s="871">
        <v>196</v>
      </c>
    </row>
    <row r="94" spans="2:9" ht="18" customHeight="1">
      <c r="B94" s="972">
        <v>43647</v>
      </c>
      <c r="C94" s="871">
        <v>204</v>
      </c>
      <c r="D94" s="870"/>
      <c r="E94" s="972">
        <v>43647</v>
      </c>
      <c r="F94" s="871">
        <v>204</v>
      </c>
      <c r="G94" s="870"/>
      <c r="H94" s="972">
        <v>43647</v>
      </c>
      <c r="I94" s="871">
        <v>206</v>
      </c>
    </row>
    <row r="95" spans="2:9" ht="18" customHeight="1">
      <c r="C95" s="9"/>
      <c r="F95" s="9"/>
      <c r="I95" s="9"/>
    </row>
    <row r="96" spans="2:9" ht="18" customHeight="1">
      <c r="C96" s="9"/>
      <c r="F96" s="9"/>
      <c r="I96" s="9"/>
    </row>
    <row r="97" spans="2:10" ht="18" customHeight="1">
      <c r="B97" s="870" t="s">
        <v>197</v>
      </c>
      <c r="C97" s="872"/>
      <c r="D97" s="761"/>
      <c r="E97" s="870" t="s">
        <v>198</v>
      </c>
      <c r="F97" s="9"/>
      <c r="I97" s="9"/>
    </row>
    <row r="98" spans="2:10" ht="18" customHeight="1">
      <c r="C98" s="9"/>
      <c r="F98" s="9"/>
      <c r="I98" s="9"/>
    </row>
    <row r="99" spans="2:10" ht="18" customHeight="1">
      <c r="B99" s="971">
        <v>41275</v>
      </c>
      <c r="C99" s="872">
        <v>193.25</v>
      </c>
      <c r="D99" s="761"/>
      <c r="E99" s="971">
        <v>41275</v>
      </c>
      <c r="F99" s="872">
        <v>197.6</v>
      </c>
      <c r="H99" s="8"/>
      <c r="I99" s="9"/>
    </row>
    <row r="100" spans="2:10" ht="18" customHeight="1">
      <c r="B100" s="971">
        <v>42370</v>
      </c>
      <c r="C100" s="872">
        <v>199.25</v>
      </c>
      <c r="D100" s="761"/>
      <c r="E100" s="971">
        <v>42370</v>
      </c>
      <c r="F100" s="872">
        <v>203.6</v>
      </c>
      <c r="H100" s="8"/>
      <c r="I100" s="9"/>
    </row>
    <row r="101" spans="2:10" ht="18" customHeight="1">
      <c r="B101" s="972">
        <v>42736</v>
      </c>
      <c r="C101" s="871">
        <v>201.25</v>
      </c>
      <c r="D101" s="870"/>
      <c r="E101" s="972">
        <v>42736</v>
      </c>
      <c r="F101" s="871">
        <v>205.6</v>
      </c>
      <c r="I101" s="9"/>
    </row>
    <row r="102" spans="2:10" ht="18" customHeight="1">
      <c r="B102" s="972">
        <v>43101</v>
      </c>
      <c r="C102" s="871">
        <v>203.25</v>
      </c>
      <c r="D102" s="870"/>
      <c r="E102" s="972">
        <v>43101</v>
      </c>
      <c r="F102" s="871">
        <v>207.6</v>
      </c>
      <c r="I102" s="9"/>
    </row>
    <row r="103" spans="2:10" ht="18" customHeight="1">
      <c r="B103" s="972">
        <v>43647</v>
      </c>
      <c r="C103" s="871">
        <v>213.25</v>
      </c>
      <c r="D103" s="870"/>
      <c r="E103" s="972">
        <v>43647</v>
      </c>
      <c r="F103" s="871">
        <v>217.6</v>
      </c>
      <c r="I103" s="9"/>
    </row>
    <row r="104" spans="2:10" ht="18" customHeight="1">
      <c r="C104" s="9"/>
      <c r="F104" s="9"/>
      <c r="I104" s="9"/>
    </row>
    <row r="105" spans="2:10" ht="18" customHeight="1">
      <c r="C105" s="9"/>
      <c r="F105" s="9"/>
      <c r="I105" s="9"/>
    </row>
    <row r="106" spans="2:10" ht="18" customHeight="1"/>
    <row r="108" spans="2:10" ht="18">
      <c r="B108" s="865" t="s">
        <v>81</v>
      </c>
    </row>
    <row r="110" spans="2:10" ht="15" customHeight="1">
      <c r="B110" s="870" t="s">
        <v>199</v>
      </c>
      <c r="C110" s="761"/>
      <c r="D110" s="761"/>
      <c r="E110" s="870" t="s">
        <v>200</v>
      </c>
      <c r="F110" s="761"/>
      <c r="G110" s="761"/>
      <c r="H110" s="870" t="s">
        <v>213</v>
      </c>
      <c r="I110" s="761"/>
      <c r="J110" s="761"/>
    </row>
    <row r="111" spans="2:10" ht="15" customHeight="1"/>
    <row r="112" spans="2:10" ht="18" customHeight="1">
      <c r="B112" s="971">
        <v>41275</v>
      </c>
      <c r="C112" s="872">
        <v>133</v>
      </c>
      <c r="D112" s="761"/>
      <c r="E112" s="971">
        <v>41275</v>
      </c>
      <c r="F112" s="872">
        <v>180</v>
      </c>
      <c r="G112" s="761"/>
      <c r="H112" s="971">
        <v>41275</v>
      </c>
      <c r="I112" s="872">
        <v>0</v>
      </c>
    </row>
    <row r="113" spans="2:9" ht="18" customHeight="1">
      <c r="B113" s="971">
        <v>42186</v>
      </c>
      <c r="C113" s="872">
        <v>144</v>
      </c>
      <c r="D113" s="761"/>
      <c r="E113" s="971">
        <v>42186</v>
      </c>
      <c r="F113" s="872">
        <v>192</v>
      </c>
      <c r="G113" s="761"/>
      <c r="H113" s="971">
        <v>42186</v>
      </c>
      <c r="I113" s="872">
        <v>0</v>
      </c>
    </row>
    <row r="114" spans="2:9" ht="18" customHeight="1">
      <c r="B114" s="971">
        <v>42370</v>
      </c>
      <c r="C114" s="872">
        <v>145</v>
      </c>
      <c r="D114" s="761"/>
      <c r="E114" s="971">
        <v>42370</v>
      </c>
      <c r="F114" s="872">
        <v>194</v>
      </c>
      <c r="G114" s="761"/>
      <c r="H114" s="971">
        <v>42370</v>
      </c>
      <c r="I114" s="872">
        <v>0</v>
      </c>
    </row>
    <row r="115" spans="2:9" ht="18" customHeight="1">
      <c r="B115" s="972">
        <v>42736</v>
      </c>
      <c r="C115" s="871">
        <v>150</v>
      </c>
      <c r="D115" s="870"/>
      <c r="E115" s="972">
        <v>42736</v>
      </c>
      <c r="F115" s="871">
        <v>201</v>
      </c>
      <c r="G115" s="870"/>
      <c r="H115" s="972">
        <v>42917</v>
      </c>
      <c r="I115" s="871">
        <v>268</v>
      </c>
    </row>
    <row r="116" spans="2:9" ht="15" customHeight="1">
      <c r="B116" s="972">
        <v>43101</v>
      </c>
      <c r="C116" s="871">
        <v>154</v>
      </c>
      <c r="D116" s="870"/>
      <c r="E116" s="972">
        <v>43101</v>
      </c>
      <c r="F116" s="871">
        <v>205</v>
      </c>
      <c r="G116" s="870"/>
      <c r="H116" s="972">
        <v>43101</v>
      </c>
      <c r="I116" s="871">
        <v>273</v>
      </c>
    </row>
    <row r="117" spans="2:9" ht="15" customHeight="1">
      <c r="B117" s="972">
        <v>43466</v>
      </c>
      <c r="C117" s="871">
        <v>164</v>
      </c>
      <c r="E117" s="972">
        <v>43466</v>
      </c>
      <c r="F117" s="871">
        <v>212</v>
      </c>
      <c r="H117" s="972">
        <v>43466</v>
      </c>
      <c r="I117" s="871">
        <v>282</v>
      </c>
    </row>
    <row r="118" spans="2:9" ht="15" customHeight="1">
      <c r="B118" s="972">
        <v>43647</v>
      </c>
      <c r="C118" s="871">
        <v>154</v>
      </c>
      <c r="E118" s="972">
        <v>43647</v>
      </c>
      <c r="F118" s="871">
        <v>202</v>
      </c>
      <c r="H118" s="972">
        <v>43647</v>
      </c>
      <c r="I118" s="871">
        <v>272</v>
      </c>
    </row>
    <row r="119" spans="2:9" ht="15" customHeight="1"/>
    <row r="120" spans="2:9" ht="15" customHeight="1"/>
    <row r="121" spans="2:9" ht="15" customHeight="1"/>
    <row r="122" spans="2:9" ht="15" customHeight="1"/>
    <row r="123" spans="2:9" ht="15" customHeight="1"/>
    <row r="125" spans="2:9" ht="18">
      <c r="B125" s="865" t="s">
        <v>271</v>
      </c>
      <c r="C125" s="869"/>
    </row>
    <row r="127" spans="2:9" ht="15" customHeight="1">
      <c r="C127" s="864" t="s">
        <v>273</v>
      </c>
      <c r="D127" s="873" t="s">
        <v>272</v>
      </c>
      <c r="F127" s="2167" t="s">
        <v>274</v>
      </c>
      <c r="G127" s="2168"/>
      <c r="H127" s="873" t="s">
        <v>272</v>
      </c>
    </row>
    <row r="128" spans="2:9" ht="15" customHeight="1">
      <c r="C128" s="9"/>
    </row>
    <row r="129" spans="2:8" ht="18" customHeight="1">
      <c r="B129" s="971">
        <v>41275</v>
      </c>
      <c r="C129" s="872">
        <v>610.30999999999995</v>
      </c>
      <c r="D129" s="872">
        <f>C129/2</f>
        <v>305.15499999999997</v>
      </c>
      <c r="E129" s="971"/>
      <c r="F129" s="872">
        <v>80.72</v>
      </c>
      <c r="G129" s="761"/>
      <c r="H129" s="872">
        <f>F129/2</f>
        <v>40.36</v>
      </c>
    </row>
    <row r="130" spans="2:8" ht="18" customHeight="1">
      <c r="B130" s="971">
        <v>41640</v>
      </c>
      <c r="C130" s="872">
        <v>627.75</v>
      </c>
      <c r="D130" s="872">
        <f>C130/2</f>
        <v>313.875</v>
      </c>
      <c r="E130" s="971"/>
      <c r="F130" s="872">
        <v>83.02</v>
      </c>
      <c r="G130" s="761"/>
      <c r="H130" s="872">
        <f>F130/2</f>
        <v>41.51</v>
      </c>
    </row>
    <row r="131" spans="2:8" ht="18" customHeight="1">
      <c r="B131" s="971">
        <v>42005</v>
      </c>
      <c r="C131" s="872">
        <v>639.38</v>
      </c>
      <c r="D131" s="872">
        <f>C131/2</f>
        <v>319.69</v>
      </c>
      <c r="E131" s="971"/>
      <c r="F131" s="872">
        <v>96.94</v>
      </c>
      <c r="G131" s="761"/>
      <c r="H131" s="872">
        <f>F131/2</f>
        <v>48.47</v>
      </c>
    </row>
    <row r="132" spans="2:8" ht="18" customHeight="1">
      <c r="B132" s="971">
        <v>42370</v>
      </c>
      <c r="C132" s="872">
        <v>665.29</v>
      </c>
      <c r="D132" s="872">
        <v>332.65</v>
      </c>
      <c r="E132" s="971"/>
      <c r="F132" s="872">
        <v>99.58</v>
      </c>
      <c r="G132" s="761"/>
      <c r="H132" s="872">
        <f>F132/2</f>
        <v>49.79</v>
      </c>
    </row>
    <row r="133" spans="2:8" ht="18" customHeight="1">
      <c r="B133" s="972">
        <v>42736</v>
      </c>
      <c r="C133" s="872">
        <v>682.95</v>
      </c>
      <c r="D133" s="871">
        <f>C133/2</f>
        <v>341.47500000000002</v>
      </c>
      <c r="E133" s="971"/>
      <c r="F133" s="872">
        <v>110.92</v>
      </c>
      <c r="G133" s="872"/>
      <c r="H133" s="871">
        <f>F133/2</f>
        <v>55.46</v>
      </c>
    </row>
    <row r="134" spans="2:8" ht="15" customHeight="1">
      <c r="B134" s="972">
        <v>43101</v>
      </c>
      <c r="C134" s="872">
        <v>690.31</v>
      </c>
      <c r="D134" s="871">
        <f>C134/2</f>
        <v>345.15499999999997</v>
      </c>
      <c r="E134" s="971"/>
      <c r="F134" s="872">
        <v>112.84</v>
      </c>
      <c r="G134" s="872"/>
      <c r="H134" s="871">
        <f t="shared" ref="H134:H135" si="0">F134/2</f>
        <v>56.42</v>
      </c>
    </row>
    <row r="135" spans="2:8" ht="15" customHeight="1">
      <c r="B135" s="972">
        <v>43466</v>
      </c>
      <c r="C135" s="872">
        <v>707.85</v>
      </c>
      <c r="D135" s="871">
        <f>C135/2</f>
        <v>353.92500000000001</v>
      </c>
      <c r="E135" s="971"/>
      <c r="F135" s="872">
        <v>139.38999999999999</v>
      </c>
      <c r="G135" s="872"/>
      <c r="H135" s="871">
        <f t="shared" si="0"/>
        <v>69.694999999999993</v>
      </c>
    </row>
    <row r="136" spans="2:8" ht="15" customHeight="1">
      <c r="C136" s="9"/>
      <c r="D136" s="9"/>
      <c r="E136" s="8"/>
      <c r="F136" s="9"/>
      <c r="G136" s="9"/>
      <c r="H136" s="9"/>
    </row>
    <row r="137" spans="2:8" ht="15" customHeight="1">
      <c r="C137" s="9"/>
      <c r="D137" s="9"/>
      <c r="E137" s="9"/>
      <c r="F137" s="9"/>
      <c r="G137" s="9"/>
      <c r="H137" s="9"/>
    </row>
    <row r="138" spans="2:8" ht="15" customHeight="1">
      <c r="C138" s="9"/>
      <c r="D138" s="9"/>
      <c r="E138" s="9"/>
      <c r="F138" s="9"/>
      <c r="G138" s="9"/>
      <c r="H138" s="9"/>
    </row>
    <row r="139" spans="2:8" ht="15" customHeight="1">
      <c r="C139" s="9"/>
      <c r="D139" s="9"/>
      <c r="E139" s="9"/>
      <c r="F139" s="9"/>
      <c r="G139" s="9"/>
      <c r="H139" s="9"/>
    </row>
    <row r="140" spans="2:8" ht="15" customHeight="1">
      <c r="C140" s="9"/>
      <c r="D140" s="9"/>
      <c r="E140" s="9"/>
      <c r="F140" s="9"/>
      <c r="G140" s="9"/>
      <c r="H140" s="9"/>
    </row>
    <row r="141" spans="2:8" ht="15" customHeight="1">
      <c r="C141" s="9"/>
      <c r="D141" s="9"/>
      <c r="E141" s="9"/>
      <c r="F141" s="9"/>
      <c r="G141" s="9"/>
      <c r="H141" s="9"/>
    </row>
    <row r="142" spans="2:8">
      <c r="C142" s="9"/>
      <c r="D142" s="9"/>
      <c r="E142" s="9"/>
      <c r="F142" s="9"/>
      <c r="G142" s="9"/>
      <c r="H142" s="9"/>
    </row>
    <row r="143" spans="2:8" ht="18">
      <c r="B143" s="865" t="s">
        <v>361</v>
      </c>
      <c r="C143" s="9"/>
      <c r="D143" s="9"/>
      <c r="E143" s="9"/>
      <c r="F143" s="9"/>
      <c r="G143" s="9"/>
      <c r="H143" s="9"/>
    </row>
    <row r="144" spans="2:8">
      <c r="C144" s="9"/>
      <c r="D144" s="9"/>
      <c r="E144" s="9"/>
      <c r="F144" s="9"/>
      <c r="G144" s="9"/>
      <c r="H144" s="9"/>
    </row>
    <row r="145" spans="2:9" ht="18" customHeight="1">
      <c r="B145" s="971">
        <v>42552</v>
      </c>
      <c r="C145" s="872">
        <v>160</v>
      </c>
      <c r="D145" s="9"/>
      <c r="E145" s="9"/>
      <c r="F145" s="9"/>
      <c r="G145" s="9"/>
      <c r="H145" s="9"/>
    </row>
    <row r="146" spans="2:9" ht="18" customHeight="1">
      <c r="B146" s="971">
        <v>42736</v>
      </c>
      <c r="C146" s="872">
        <v>170</v>
      </c>
      <c r="D146" s="9"/>
      <c r="E146" s="9"/>
      <c r="F146" s="9"/>
      <c r="G146" s="9"/>
      <c r="H146" s="9"/>
    </row>
    <row r="147" spans="2:9" ht="18" customHeight="1">
      <c r="B147" s="761"/>
      <c r="C147" s="872"/>
      <c r="D147" s="9"/>
      <c r="E147" s="9"/>
      <c r="F147" s="9"/>
      <c r="G147" s="9"/>
      <c r="H147" s="9"/>
    </row>
    <row r="148" spans="2:9" ht="18" customHeight="1">
      <c r="B148" s="761"/>
      <c r="C148" s="872"/>
      <c r="D148" s="9"/>
      <c r="E148" s="9"/>
      <c r="F148" s="9"/>
      <c r="G148" s="9"/>
      <c r="H148" s="9"/>
    </row>
    <row r="149" spans="2:9" ht="18" customHeight="1">
      <c r="B149" s="761"/>
      <c r="C149" s="761"/>
    </row>
    <row r="150" spans="2:9" ht="18" customHeight="1">
      <c r="B150" s="865" t="s">
        <v>2391</v>
      </c>
      <c r="C150" s="761"/>
    </row>
    <row r="151" spans="2:9" ht="18" customHeight="1">
      <c r="B151" s="761"/>
      <c r="C151" s="761"/>
    </row>
    <row r="152" spans="2:9" ht="18" customHeight="1">
      <c r="B152" s="871" t="s">
        <v>193</v>
      </c>
      <c r="C152" s="872"/>
      <c r="D152" s="761"/>
      <c r="E152" s="870" t="s">
        <v>194</v>
      </c>
      <c r="F152" s="761"/>
      <c r="G152" s="761"/>
      <c r="H152" s="870" t="s">
        <v>195</v>
      </c>
    </row>
    <row r="153" spans="2:9">
      <c r="C153" s="9"/>
    </row>
    <row r="154" spans="2:9" ht="15">
      <c r="B154" s="971">
        <v>41275</v>
      </c>
      <c r="C154" s="872">
        <v>184</v>
      </c>
      <c r="D154" s="761"/>
      <c r="E154" s="971">
        <v>41275</v>
      </c>
      <c r="F154" s="872">
        <v>184</v>
      </c>
      <c r="G154" s="761"/>
      <c r="H154" s="971">
        <v>41275</v>
      </c>
      <c r="I154" s="872">
        <v>190</v>
      </c>
    </row>
    <row r="155" spans="2:9" ht="15">
      <c r="B155" s="971">
        <v>42370</v>
      </c>
      <c r="C155" s="872">
        <v>190</v>
      </c>
      <c r="D155" s="761"/>
      <c r="E155" s="971">
        <v>42370</v>
      </c>
      <c r="F155" s="872">
        <v>190</v>
      </c>
      <c r="G155" s="761"/>
      <c r="H155" s="971">
        <v>42370</v>
      </c>
      <c r="I155" s="872">
        <v>196</v>
      </c>
    </row>
    <row r="156" spans="2:9" ht="15.75">
      <c r="B156" s="972">
        <v>42736</v>
      </c>
      <c r="C156" s="871">
        <v>192</v>
      </c>
      <c r="D156" s="870"/>
      <c r="E156" s="972">
        <v>42736</v>
      </c>
      <c r="F156" s="871">
        <v>192</v>
      </c>
      <c r="G156" s="870"/>
      <c r="H156" s="972">
        <v>42736</v>
      </c>
      <c r="I156" s="871">
        <v>198</v>
      </c>
    </row>
    <row r="157" spans="2:9" ht="15.75">
      <c r="B157" s="972">
        <v>43101</v>
      </c>
      <c r="C157" s="871">
        <v>194</v>
      </c>
      <c r="E157" s="972">
        <v>43101</v>
      </c>
      <c r="F157" s="871">
        <v>194</v>
      </c>
      <c r="H157" s="972">
        <v>43101</v>
      </c>
      <c r="I157" s="871">
        <v>200</v>
      </c>
    </row>
    <row r="158" spans="2:9">
      <c r="C158" s="9"/>
      <c r="F158" s="9"/>
      <c r="I158" s="9"/>
    </row>
    <row r="159" spans="2:9">
      <c r="C159" s="9"/>
      <c r="F159" s="9"/>
      <c r="I159" s="9"/>
    </row>
    <row r="160" spans="2:9">
      <c r="C160" s="9"/>
      <c r="F160" s="9"/>
      <c r="I160" s="9"/>
    </row>
    <row r="161" spans="2:9" ht="15.75">
      <c r="B161" s="870" t="s">
        <v>197</v>
      </c>
      <c r="C161" s="872"/>
      <c r="D161" s="761"/>
      <c r="E161" s="870" t="s">
        <v>198</v>
      </c>
      <c r="F161" s="9"/>
      <c r="I161" s="9"/>
    </row>
    <row r="162" spans="2:9">
      <c r="C162" s="9"/>
      <c r="F162" s="9"/>
      <c r="I162" s="9"/>
    </row>
    <row r="163" spans="2:9" ht="15">
      <c r="B163" s="971">
        <v>41275</v>
      </c>
      <c r="C163" s="872">
        <v>215</v>
      </c>
      <c r="D163" s="761"/>
      <c r="E163" s="971">
        <v>41275</v>
      </c>
      <c r="F163" s="872">
        <v>215</v>
      </c>
      <c r="H163" s="8"/>
      <c r="I163" s="9"/>
    </row>
    <row r="164" spans="2:9" ht="15">
      <c r="B164" s="971">
        <v>42370</v>
      </c>
      <c r="C164" s="872">
        <v>221</v>
      </c>
      <c r="D164" s="761"/>
      <c r="E164" s="971">
        <v>42370</v>
      </c>
      <c r="F164" s="872">
        <v>221</v>
      </c>
      <c r="H164" s="8"/>
      <c r="I164" s="9"/>
    </row>
    <row r="165" spans="2:9" ht="15.75">
      <c r="B165" s="972">
        <v>42736</v>
      </c>
      <c r="C165" s="871">
        <v>223</v>
      </c>
      <c r="D165" s="870"/>
      <c r="E165" s="972">
        <v>42736</v>
      </c>
      <c r="F165" s="871">
        <v>223</v>
      </c>
      <c r="I165" s="9"/>
    </row>
    <row r="166" spans="2:9" ht="15.75">
      <c r="B166" s="972">
        <v>43101</v>
      </c>
      <c r="C166" s="871">
        <v>225</v>
      </c>
      <c r="E166" s="972">
        <v>43101</v>
      </c>
      <c r="F166" s="871">
        <v>225</v>
      </c>
    </row>
  </sheetData>
  <sheetProtection sheet="1" objects="1" scenarios="1"/>
  <mergeCells count="8">
    <mergeCell ref="F127:G127"/>
    <mergeCell ref="D55:D56"/>
    <mergeCell ref="E55:E56"/>
    <mergeCell ref="D42:E42"/>
    <mergeCell ref="D44:E44"/>
    <mergeCell ref="D46:D51"/>
    <mergeCell ref="E46:E51"/>
    <mergeCell ref="D53:E53"/>
  </mergeCells>
  <phoneticPr fontId="2" type="noConversion"/>
  <hyperlinks>
    <hyperlink ref="B63" location="Eingabetabelle!B29" display="zurück"/>
  </hyperlinks>
  <pageMargins left="0.78740157499999996" right="0.78740157499999996" top="0.984251969" bottom="0.984251969" header="0.4921259845" footer="0.4921259845"/>
  <pageSetup paperSize="9" orientation="portrait" verticalDpi="4294967293" r:id="rId1"/>
  <headerFooter alignWithMargins="0"/>
</worksheet>
</file>

<file path=xl/worksheets/sheet16.xml><?xml version="1.0" encoding="utf-8"?>
<worksheet xmlns="http://schemas.openxmlformats.org/spreadsheetml/2006/main" xmlns:r="http://schemas.openxmlformats.org/officeDocument/2006/relationships">
  <dimension ref="A1:L239"/>
  <sheetViews>
    <sheetView showGridLines="0" showRowColHeaders="0" showZeros="0" zoomScale="120" zoomScaleNormal="120" workbookViewId="0">
      <selection activeCell="I2" sqref="I2"/>
    </sheetView>
  </sheetViews>
  <sheetFormatPr baseColWidth="10" defaultColWidth="11.42578125" defaultRowHeight="16.5"/>
  <cols>
    <col min="1" max="1" width="33.28515625" style="205" customWidth="1"/>
    <col min="2" max="2" width="16.7109375" style="205" customWidth="1"/>
    <col min="3" max="3" width="12.85546875" style="205" customWidth="1"/>
    <col min="4" max="6" width="13" style="205" customWidth="1"/>
    <col min="7" max="7" width="12.5703125" style="205" customWidth="1"/>
    <col min="8" max="8" width="12.7109375" style="205" customWidth="1"/>
    <col min="9" max="9" width="13.42578125" style="205" customWidth="1"/>
    <col min="10" max="16384" width="11.42578125" style="205"/>
  </cols>
  <sheetData>
    <row r="1" spans="1:11" ht="20.25" customHeight="1" thickBot="1">
      <c r="H1" s="606" t="s">
        <v>183</v>
      </c>
      <c r="I1" s="605">
        <f ca="1">TODAY()</f>
        <v>43401</v>
      </c>
    </row>
    <row r="2" spans="1:11" ht="36" customHeight="1">
      <c r="A2" s="234"/>
      <c r="B2" s="346" t="s">
        <v>2</v>
      </c>
      <c r="C2" s="235"/>
      <c r="D2" s="222"/>
      <c r="E2" s="236"/>
      <c r="F2" s="236"/>
      <c r="G2" s="236"/>
      <c r="H2" s="236"/>
      <c r="I2" s="237"/>
      <c r="J2" s="206"/>
      <c r="K2" s="206"/>
    </row>
    <row r="3" spans="1:11" ht="19.5" thickBot="1">
      <c r="A3" s="238" t="s">
        <v>4</v>
      </c>
      <c r="B3" s="2107">
        <f>Zusatzeingaben!B2</f>
        <v>0</v>
      </c>
      <c r="C3" s="2108"/>
      <c r="D3" s="239" t="s">
        <v>33</v>
      </c>
      <c r="E3" s="338">
        <f>Zusatzeingaben!E2</f>
        <v>43344</v>
      </c>
      <c r="F3" s="263" t="s">
        <v>103</v>
      </c>
      <c r="G3" s="339">
        <f>Zusatzeingaben!F2</f>
        <v>43373</v>
      </c>
      <c r="H3" s="240"/>
      <c r="I3" s="241"/>
      <c r="J3" s="206"/>
      <c r="K3" s="206"/>
    </row>
    <row r="4" spans="1:11" ht="17.25" thickBot="1">
      <c r="J4" s="206"/>
      <c r="K4" s="206"/>
    </row>
    <row r="5" spans="1:11" ht="23.25">
      <c r="A5" s="221"/>
      <c r="B5" s="345" t="s">
        <v>0</v>
      </c>
      <c r="C5" s="222"/>
      <c r="D5" s="222"/>
      <c r="E5" s="222"/>
      <c r="F5" s="222"/>
      <c r="G5" s="222"/>
      <c r="H5" s="222"/>
      <c r="I5" s="223"/>
    </row>
    <row r="6" spans="1:11" ht="20.25" customHeight="1">
      <c r="A6" s="224"/>
      <c r="B6" s="341" t="s">
        <v>1</v>
      </c>
      <c r="C6" s="341" t="str">
        <f>Zusatzeingaben!C4</f>
        <v>Antragsteller</v>
      </c>
      <c r="D6" s="341" t="str">
        <f>Zusatzeingaben!D4</f>
        <v>Partner(in)</v>
      </c>
      <c r="E6" s="341" t="str">
        <f>Zusatzeingaben!E4</f>
        <v>Kind 1</v>
      </c>
      <c r="F6" s="341" t="s">
        <v>8</v>
      </c>
      <c r="G6" s="341" t="s">
        <v>9</v>
      </c>
      <c r="H6" s="341" t="s">
        <v>10</v>
      </c>
      <c r="I6" s="342" t="s">
        <v>34</v>
      </c>
    </row>
    <row r="7" spans="1:11">
      <c r="A7" s="224" t="s">
        <v>35</v>
      </c>
      <c r="B7" s="300">
        <f>Zusatzeingaben!B6</f>
        <v>1</v>
      </c>
      <c r="C7" s="301">
        <f>Zusatzeingaben!C6</f>
        <v>0</v>
      </c>
      <c r="D7" s="301">
        <f>Zusatzeingaben!D6</f>
        <v>0</v>
      </c>
      <c r="E7" s="301">
        <f>Zusatzeingaben!E6</f>
        <v>0</v>
      </c>
      <c r="F7" s="301">
        <f>Zusatzeingaben!F6</f>
        <v>0</v>
      </c>
      <c r="G7" s="301">
        <f>Zusatzeingaben!G6</f>
        <v>0</v>
      </c>
      <c r="H7" s="301">
        <f>Zusatzeingaben!H6</f>
        <v>0</v>
      </c>
      <c r="I7" s="302">
        <f>Zusatzeingaben!I6</f>
        <v>0</v>
      </c>
    </row>
    <row r="8" spans="1:11" hidden="1">
      <c r="A8" s="224" t="s">
        <v>32</v>
      </c>
      <c r="B8" s="303"/>
      <c r="C8" s="304" t="str">
        <f>Zusatzeingaben!E7</f>
        <v>nein</v>
      </c>
      <c r="D8" s="304" t="str">
        <f>Zusatzeingaben!F7</f>
        <v>nein</v>
      </c>
      <c r="E8" s="304"/>
      <c r="F8" s="304"/>
      <c r="G8" s="304"/>
      <c r="H8" s="304"/>
      <c r="I8" s="305"/>
    </row>
    <row r="9" spans="1:11">
      <c r="A9" s="224" t="s">
        <v>3</v>
      </c>
      <c r="B9" s="306"/>
      <c r="C9" s="307">
        <f>Zusatzeingaben!C22</f>
        <v>0</v>
      </c>
      <c r="D9" s="307">
        <f>Zusatzeingaben!D22</f>
        <v>0</v>
      </c>
      <c r="E9" s="307">
        <f>IF(Zusatzeingaben!E16=0,Zusatzeingaben!E16,Zusatzeingaben!E22)</f>
        <v>0</v>
      </c>
      <c r="F9" s="307">
        <f>IF(Zusatzeingaben!F16=0,Zusatzeingaben!F16,Zusatzeingaben!F22)</f>
        <v>0</v>
      </c>
      <c r="G9" s="307">
        <f>IF(Zusatzeingaben!G16=0,Zusatzeingaben!G16,Zusatzeingaben!G22)</f>
        <v>0</v>
      </c>
      <c r="H9" s="307">
        <f>IF(Zusatzeingaben!H16=0,Zusatzeingaben!H16,Zusatzeingaben!H22)</f>
        <v>0</v>
      </c>
      <c r="I9" s="310">
        <f>IF(Zusatzeingaben!I16=0,Zusatzeingaben!I16,Zusatzeingaben!I22)</f>
        <v>0</v>
      </c>
    </row>
    <row r="10" spans="1:11" ht="17.25" thickBot="1">
      <c r="A10" s="225" t="s">
        <v>39</v>
      </c>
      <c r="B10" s="308"/>
      <c r="C10" s="347" t="str">
        <f>Zusatzeingaben!C35</f>
        <v>ja</v>
      </c>
      <c r="D10" s="347">
        <f>IF(Zusatzeingaben!D33&gt;0,Zusatzeingaben!D35,0)</f>
        <v>0</v>
      </c>
      <c r="E10" s="347">
        <f>IF(Zusatzeingaben!E33&gt;0,Zusatzeingaben!E35,0)</f>
        <v>0</v>
      </c>
      <c r="F10" s="347">
        <f>IF(Zusatzeingaben!F33&gt;0,Zusatzeingaben!F35,0)</f>
        <v>0</v>
      </c>
      <c r="G10" s="347">
        <f>IF(Zusatzeingaben!G33&gt;0,Zusatzeingaben!G35,0)</f>
        <v>0</v>
      </c>
      <c r="H10" s="347">
        <f>IF(Zusatzeingaben!H33&gt;0,Zusatzeingaben!H35,0)</f>
        <v>0</v>
      </c>
      <c r="I10" s="348">
        <f>IF(Zusatzeingaben!I33&gt;0,Zusatzeingaben!I35,0)</f>
        <v>0</v>
      </c>
    </row>
    <row r="11" spans="1:11">
      <c r="A11" s="360" t="s">
        <v>52</v>
      </c>
      <c r="B11" s="292">
        <f>SUM(C11:I11)</f>
        <v>416</v>
      </c>
      <c r="C11" s="293">
        <f>Zusatzeingaben!C33</f>
        <v>416</v>
      </c>
      <c r="D11" s="293">
        <f>Zusatzeingaben!D33</f>
        <v>0</v>
      </c>
      <c r="E11" s="293">
        <f>Zusatzeingaben!E33</f>
        <v>0</v>
      </c>
      <c r="F11" s="293">
        <f>Zusatzeingaben!F33</f>
        <v>0</v>
      </c>
      <c r="G11" s="293">
        <f>Zusatzeingaben!G33</f>
        <v>0</v>
      </c>
      <c r="H11" s="293">
        <f>Zusatzeingaben!H33</f>
        <v>0</v>
      </c>
      <c r="I11" s="294">
        <f>Zusatzeingaben!I33</f>
        <v>0</v>
      </c>
    </row>
    <row r="12" spans="1:11">
      <c r="A12" s="226" t="s">
        <v>19</v>
      </c>
      <c r="B12" s="62"/>
      <c r="C12" s="295"/>
      <c r="D12" s="295"/>
      <c r="E12" s="295"/>
      <c r="F12" s="295"/>
      <c r="G12" s="295"/>
      <c r="H12" s="295"/>
      <c r="I12" s="296"/>
    </row>
    <row r="13" spans="1:11">
      <c r="A13" s="408">
        <f>IF(B13&gt;0,"Schwangerschaft",0)</f>
        <v>0</v>
      </c>
      <c r="B13" s="284">
        <f t="shared" ref="B13:B19" si="0">SUM(C13:I13)</f>
        <v>0</v>
      </c>
      <c r="C13" s="62">
        <f>IF(OR(Zusatzeingaben!C37="",C10="nur Mehrbedarf"),0,Zusatzeingaben!C45)</f>
        <v>0</v>
      </c>
      <c r="D13" s="62">
        <f>IF(OR(Zusatzeingaben!D37="",D10="nur Mehrbedarf"),0,Zusatzeingaben!D45)</f>
        <v>0</v>
      </c>
      <c r="E13" s="62">
        <f>IF(Zusatzeingaben!E37="",0,Zusatzeingaben!E45)</f>
        <v>0</v>
      </c>
      <c r="F13" s="62"/>
      <c r="G13" s="62"/>
      <c r="H13" s="62"/>
      <c r="I13" s="110"/>
    </row>
    <row r="14" spans="1:11">
      <c r="A14" s="408">
        <f>IF(B14&gt;0,"Alleinerziehende",0)</f>
        <v>0</v>
      </c>
      <c r="B14" s="284">
        <f>C14</f>
        <v>0</v>
      </c>
      <c r="C14" s="62">
        <f>IF(C10="nur Mehrbedarf",0,Zusatzeingaben!B46)</f>
        <v>0</v>
      </c>
      <c r="D14" s="62"/>
      <c r="E14" s="62"/>
      <c r="F14" s="62"/>
      <c r="G14" s="62"/>
      <c r="H14" s="62"/>
      <c r="I14" s="110"/>
    </row>
    <row r="15" spans="1:11">
      <c r="A15" s="408">
        <f>IF(B15&gt;0,"behinderter Mensch, Teilhabe",0)</f>
        <v>0</v>
      </c>
      <c r="B15" s="284">
        <f t="shared" si="0"/>
        <v>0</v>
      </c>
      <c r="C15" s="62">
        <f>IF(Zusatzeingaben!C34="ja",Zusatzeingaben!C92,0)</f>
        <v>0</v>
      </c>
      <c r="D15" s="62">
        <f>IF(Zusatzeingaben!D34="ja",Zusatzeingaben!D92,0)</f>
        <v>0</v>
      </c>
      <c r="E15" s="62">
        <f>IF(Zusatzeingaben!E34="ja",Zusatzeingaben!E92,0)</f>
        <v>0</v>
      </c>
      <c r="F15" s="62">
        <f>IF(Zusatzeingaben!F34="ja",Zusatzeingaben!F92,0)</f>
        <v>0</v>
      </c>
      <c r="G15" s="62">
        <f>IF(Zusatzeingaben!G34="ja",Zusatzeingaben!G92,0)</f>
        <v>0</v>
      </c>
      <c r="H15" s="62">
        <f>IF(Zusatzeingaben!H34="ja",Zusatzeingaben!H92,0)</f>
        <v>0</v>
      </c>
      <c r="I15" s="110">
        <f>IF(Zusatzeingaben!I34="ja",Zusatzeingaben!I92,0)</f>
        <v>0</v>
      </c>
    </row>
    <row r="16" spans="1:11">
      <c r="A16" s="408">
        <f>IF(B16&gt;0,"kostenaufwändige Ernährung",0)</f>
        <v>0</v>
      </c>
      <c r="B16" s="284">
        <f t="shared" si="0"/>
        <v>0</v>
      </c>
      <c r="C16" s="62">
        <f>IF(C10="nur Mehrbedarf",0,Zusatzeingaben!C93)</f>
        <v>0</v>
      </c>
      <c r="D16" s="62">
        <f>IF(D10="nur Mehrbedarf",0,Zusatzeingaben!D93)</f>
        <v>0</v>
      </c>
      <c r="E16" s="62">
        <f>Zusatzeingaben!E93</f>
        <v>0</v>
      </c>
      <c r="F16" s="62">
        <f>Zusatzeingaben!F93</f>
        <v>0</v>
      </c>
      <c r="G16" s="62">
        <f>Zusatzeingaben!G93</f>
        <v>0</v>
      </c>
      <c r="H16" s="62">
        <f>Zusatzeingaben!H93</f>
        <v>0</v>
      </c>
      <c r="I16" s="110">
        <f>Zusatzeingaben!I93</f>
        <v>0</v>
      </c>
    </row>
    <row r="17" spans="1:11">
      <c r="A17" s="408">
        <f>IF(B17&gt;0,"unabweisbarer, lfd., besond. Bedarf",0)</f>
        <v>0</v>
      </c>
      <c r="B17" s="284">
        <f t="shared" si="0"/>
        <v>0</v>
      </c>
      <c r="C17" s="62">
        <f>IF(C10="nur Mehrbedarf",0,Zusatzeingaben!C94)</f>
        <v>0</v>
      </c>
      <c r="D17" s="62">
        <f>IF(D10="nur Mehrbedarf",0,Zusatzeingaben!D94)</f>
        <v>0</v>
      </c>
      <c r="E17" s="62">
        <f>Zusatzeingaben!E94</f>
        <v>0</v>
      </c>
      <c r="F17" s="62">
        <f>Zusatzeingaben!F94</f>
        <v>0</v>
      </c>
      <c r="G17" s="62">
        <f>Zusatzeingaben!G94</f>
        <v>0</v>
      </c>
      <c r="H17" s="62">
        <f>Zusatzeingaben!H94</f>
        <v>0</v>
      </c>
      <c r="I17" s="110">
        <f>Zusatzeingaben!I94</f>
        <v>0</v>
      </c>
    </row>
    <row r="18" spans="1:11">
      <c r="A18" s="408">
        <f>IF(B18&gt;0,"Warmwasser dezentral",0)</f>
        <v>0</v>
      </c>
      <c r="B18" s="284">
        <f t="shared" si="0"/>
        <v>0</v>
      </c>
      <c r="C18" s="62">
        <f>Zusatzeingaben!C98</f>
        <v>0</v>
      </c>
      <c r="D18" s="62">
        <f>Zusatzeingaben!D98</f>
        <v>0</v>
      </c>
      <c r="E18" s="62">
        <f>Zusatzeingaben!E98</f>
        <v>0</v>
      </c>
      <c r="F18" s="62">
        <f>Zusatzeingaben!F98</f>
        <v>0</v>
      </c>
      <c r="G18" s="62">
        <f>Zusatzeingaben!G98</f>
        <v>0</v>
      </c>
      <c r="H18" s="62">
        <f>Zusatzeingaben!H98</f>
        <v>0</v>
      </c>
      <c r="I18" s="110">
        <f>Zusatzeingaben!I98</f>
        <v>0</v>
      </c>
    </row>
    <row r="19" spans="1:11">
      <c r="A19" s="408">
        <f>IF(B19&gt;0,"erwerbsunfähig, Merkzeichen G",0)</f>
        <v>0</v>
      </c>
      <c r="B19" s="284">
        <f t="shared" si="0"/>
        <v>0</v>
      </c>
      <c r="C19" s="62">
        <f>IF(Zusatzeingaben!C34="nein",Zusatzeingaben!C100,0)</f>
        <v>0</v>
      </c>
      <c r="D19" s="62">
        <f>IF(Zusatzeingaben!D34="nein",Zusatzeingaben!D100,0)</f>
        <v>0</v>
      </c>
      <c r="E19" s="62">
        <f>IF(Zusatzeingaben!E34="nein",Zusatzeingaben!E100,0)</f>
        <v>0</v>
      </c>
      <c r="F19" s="62">
        <f>IF(Zusatzeingaben!F34="nein",Zusatzeingaben!F100,0)</f>
        <v>0</v>
      </c>
      <c r="G19" s="62">
        <f>IF(Zusatzeingaben!G34="nein",Zusatzeingaben!G100,0)</f>
        <v>0</v>
      </c>
      <c r="H19" s="62">
        <f>IF(Zusatzeingaben!H34="nein",Zusatzeingaben!H100,0)</f>
        <v>0</v>
      </c>
      <c r="I19" s="110">
        <f>IF(Zusatzeingaben!I34="nein",Zusatzeingaben!I100,0)</f>
        <v>0</v>
      </c>
    </row>
    <row r="20" spans="1:11" ht="18" customHeight="1">
      <c r="A20" s="228" t="s">
        <v>13</v>
      </c>
      <c r="B20" s="62"/>
      <c r="C20" s="309"/>
      <c r="D20" s="309"/>
      <c r="E20" s="309"/>
      <c r="F20" s="295"/>
      <c r="G20" s="295"/>
      <c r="H20" s="295"/>
      <c r="I20" s="296"/>
    </row>
    <row r="21" spans="1:11" hidden="1">
      <c r="A21" s="243"/>
      <c r="B21" s="62">
        <f>Zusatzeingaben!C102</f>
        <v>0</v>
      </c>
      <c r="C21" s="62">
        <f>B21/B7</f>
        <v>0</v>
      </c>
      <c r="D21" s="62">
        <f>IF(D9=0,0,B21/B7)</f>
        <v>0</v>
      </c>
      <c r="E21" s="62">
        <f>IF(Zusatzeingaben!E33=0,0,B21/B7)</f>
        <v>0</v>
      </c>
      <c r="F21" s="62">
        <f>IF(Zusatzeingaben!F33=0,0,B21/B7)</f>
        <v>0</v>
      </c>
      <c r="G21" s="62">
        <f>IF(Zusatzeingaben!G33=0,0,B21/B7)</f>
        <v>0</v>
      </c>
      <c r="H21" s="62">
        <f>IF(Zusatzeingaben!H33=0,0,B21/B7)</f>
        <v>0</v>
      </c>
      <c r="I21" s="110">
        <f>IF(Zusatzeingaben!I33=0,0,B21/B7)</f>
        <v>0</v>
      </c>
    </row>
    <row r="22" spans="1:11" hidden="1">
      <c r="A22" s="229"/>
      <c r="B22" s="62">
        <f>SUM(C22:I22)</f>
        <v>0</v>
      </c>
      <c r="C22" s="62">
        <f>C21</f>
        <v>0</v>
      </c>
      <c r="D22" s="62">
        <f>D21</f>
        <v>0</v>
      </c>
      <c r="E22" s="62">
        <f>IF(Zusatzeingaben!E8&gt;Zusatzeingaben!E2,E21*Zusatzeingaben!E14/30,IF(Zusatzeingaben!E18=25,E21*Zusatzeingaben!E10/30,E21))</f>
        <v>0</v>
      </c>
      <c r="F22" s="62">
        <f>IF(Zusatzeingaben!F8&gt;Zusatzeingaben!E2,F21*Zusatzeingaben!F14/30,IF(Zusatzeingaben!F18=25,F21*Zusatzeingaben!F10/30,F21))</f>
        <v>0</v>
      </c>
      <c r="G22" s="62">
        <f>IF(Zusatzeingaben!G8&gt;Zusatzeingaben!E2,G21*Zusatzeingaben!G14/30,IF(Zusatzeingaben!G18=25,G21*Zusatzeingaben!G10/30,G21))</f>
        <v>0</v>
      </c>
      <c r="H22" s="62">
        <f>IF(Zusatzeingaben!H8&gt;Zusatzeingaben!E2,H21*Zusatzeingaben!H14/30,IF(Zusatzeingaben!H18=25,H21*Zusatzeingaben!H10/30,H21))</f>
        <v>0</v>
      </c>
      <c r="I22" s="110">
        <f>IF(Zusatzeingaben!I8&gt;Zusatzeingaben!E2,I21*Zusatzeingaben!I14/30,IF(Zusatzeingaben!I18=25,I21*Zusatzeingaben!I10/30,I21))</f>
        <v>0</v>
      </c>
      <c r="K22" s="359">
        <f>COUNTIF(C22:I22,C22)</f>
        <v>7</v>
      </c>
    </row>
    <row r="23" spans="1:11" hidden="1">
      <c r="A23" s="243"/>
      <c r="B23" s="62">
        <f>SUM(C23:I23)</f>
        <v>0</v>
      </c>
      <c r="C23" s="62">
        <f>IF(AND(B22&lt;B21,C22=C21,C22&gt;0),C21+(B21-B22)/K22,C22)</f>
        <v>0</v>
      </c>
      <c r="D23" s="62">
        <f>IF(AND(B22&lt;B21,D22=D21,D22&gt;0),D21+(B21-B22)/K22,D22)</f>
        <v>0</v>
      </c>
      <c r="E23" s="62">
        <f>IF(AND(B22&lt;B21,E22=E21,E22&gt;0),E21+(B21-B22)/K22,E22)</f>
        <v>0</v>
      </c>
      <c r="F23" s="62">
        <f>IF(AND(B22&lt;B21,F22=F21,F22&gt;0),F21+(B21-B22)/K22,F22)</f>
        <v>0</v>
      </c>
      <c r="G23" s="62">
        <f>IF(AND(B22&lt;B21,G22=G21,G22&gt;0),G21+(B21-B22)/K22,G22)</f>
        <v>0</v>
      </c>
      <c r="H23" s="62">
        <f>IF(AND(B22&lt;B21,H22=H21,H22&gt;0),H21+(B21-B22)/K22,H22)</f>
        <v>0</v>
      </c>
      <c r="I23" s="110">
        <f>IF(AND(B22&lt;B21,I22=I21,I22&gt;0),I21+(B21-B22)/K22,I22)</f>
        <v>0</v>
      </c>
    </row>
    <row r="24" spans="1:11">
      <c r="A24" s="409">
        <f>IF(B24&gt;0,Zusatzeingaben!A102,0)</f>
        <v>0</v>
      </c>
      <c r="B24" s="284">
        <f>SUM(C24:I24)</f>
        <v>0</v>
      </c>
      <c r="C24" s="62">
        <f>IF(Zusatzeingaben!$K$18&gt;0,C22,C23)</f>
        <v>0</v>
      </c>
      <c r="D24" s="62">
        <f>IF(Zusatzeingaben!$K$18&gt;0,D22,D23)</f>
        <v>0</v>
      </c>
      <c r="E24" s="62">
        <f>IF(Zusatzeingaben!$K$18&gt;0,E22,E23)</f>
        <v>0</v>
      </c>
      <c r="F24" s="62">
        <f>IF(Zusatzeingaben!$K$18&gt;0,F22,F23)</f>
        <v>0</v>
      </c>
      <c r="G24" s="62">
        <f>IF(Zusatzeingaben!$K$18&gt;0,G22,G23)</f>
        <v>0</v>
      </c>
      <c r="H24" s="62">
        <f>IF(Zusatzeingaben!$K$18&gt;0,H22,H23)</f>
        <v>0</v>
      </c>
      <c r="I24" s="110">
        <f>IF(Zusatzeingaben!$K$18&gt;0,I22,I23)</f>
        <v>0</v>
      </c>
    </row>
    <row r="25" spans="1:11" hidden="1">
      <c r="A25" s="410" t="str">
        <f>Zusatzeingaben!A103</f>
        <v>weitere Kosten</v>
      </c>
      <c r="B25" s="62">
        <f>Zusatzeingaben!C103</f>
        <v>0</v>
      </c>
      <c r="C25" s="62">
        <f>B25/B7</f>
        <v>0</v>
      </c>
      <c r="D25" s="62">
        <f>IF(D9="",0,B25/B7)</f>
        <v>0</v>
      </c>
      <c r="E25" s="62">
        <f>IF(E9="",0,B25/B7)</f>
        <v>0</v>
      </c>
      <c r="F25" s="62">
        <f>IF(F9="",0,B25/B7)</f>
        <v>0</v>
      </c>
      <c r="G25" s="62">
        <f>IF(G9="",0,B25/B7)</f>
        <v>0</v>
      </c>
      <c r="H25" s="62">
        <f>IF(H9="",0,B25/B7)</f>
        <v>0</v>
      </c>
      <c r="I25" s="110">
        <f>IF(I9="",0,B25/B7)</f>
        <v>0</v>
      </c>
    </row>
    <row r="26" spans="1:11" hidden="1">
      <c r="A26" s="411"/>
      <c r="B26" s="62">
        <f>Zusatzeingaben!C104</f>
        <v>0</v>
      </c>
      <c r="C26" s="62">
        <f>B26/B7</f>
        <v>0</v>
      </c>
      <c r="D26" s="62">
        <f>IF(D9=0,0,B26/B7)</f>
        <v>0</v>
      </c>
      <c r="E26" s="62">
        <f>IF(Zusatzeingaben!E33=0,0,B26/B7)</f>
        <v>0</v>
      </c>
      <c r="F26" s="62">
        <f>IF(Zusatzeingaben!F33=0,0,B26/B7)</f>
        <v>0</v>
      </c>
      <c r="G26" s="62">
        <f>IF(Zusatzeingaben!G33=0,0,B26/B7)</f>
        <v>0</v>
      </c>
      <c r="H26" s="62">
        <f>IF(Zusatzeingaben!H33=0,0,B26/B7)</f>
        <v>0</v>
      </c>
      <c r="I26" s="110">
        <f>IF(Zusatzeingaben!I33=0,0,B26/B7)</f>
        <v>0</v>
      </c>
    </row>
    <row r="27" spans="1:11" hidden="1">
      <c r="A27" s="409"/>
      <c r="B27" s="62">
        <f>SUM(C27:I27)</f>
        <v>0</v>
      </c>
      <c r="C27" s="62">
        <f>C26</f>
        <v>0</v>
      </c>
      <c r="D27" s="62">
        <f>D26</f>
        <v>0</v>
      </c>
      <c r="E27" s="62">
        <f>IF(Zusatzeingaben!E8&gt;Zusatzeingaben!E2,E26*Zusatzeingaben!E14/30,IF(Zusatzeingaben!E18=25,E26*Zusatzeingaben!E10/30,E26))</f>
        <v>0</v>
      </c>
      <c r="F27" s="62">
        <f>IF(Zusatzeingaben!F8&gt;Zusatzeingaben!E2,F26*Zusatzeingaben!F14/30,IF(Zusatzeingaben!F18=25,F26*Zusatzeingaben!F10/30,F26))</f>
        <v>0</v>
      </c>
      <c r="G27" s="62">
        <f>IF(Zusatzeingaben!G8&gt;Zusatzeingaben!E2,G26*Zusatzeingaben!G14/30,IF(Zusatzeingaben!G18=25,G26*Zusatzeingaben!G10/30,G26))</f>
        <v>0</v>
      </c>
      <c r="H27" s="62">
        <f>IF(Zusatzeingaben!H8&gt;Zusatzeingaben!E2,H26*Zusatzeingaben!H14/30,IF(Zusatzeingaben!H18=25,H26*Zusatzeingaben!H10/30,H26))</f>
        <v>0</v>
      </c>
      <c r="I27" s="110">
        <f>IF(Zusatzeingaben!I8&gt;Zusatzeingaben!E2,I26*Zusatzeingaben!I14/30,IF(Zusatzeingaben!I18=25,I26*Zusatzeingaben!I10/30,I26))</f>
        <v>0</v>
      </c>
      <c r="K27" s="359">
        <f>COUNTIF(C27:I27,C27)</f>
        <v>7</v>
      </c>
    </row>
    <row r="28" spans="1:11" hidden="1">
      <c r="A28" s="411"/>
      <c r="B28" s="62">
        <f>SUM(C28:I28)</f>
        <v>0</v>
      </c>
      <c r="C28" s="62">
        <f>IF(AND(B27&lt;B26,C27=C26,C27&gt;0),C26+(B26-B27)/K27,C27)</f>
        <v>0</v>
      </c>
      <c r="D28" s="62">
        <f>IF(AND(B27&lt;B26,D27=D26,D27&gt;0),D26+(B26-B27)/K27,D27)</f>
        <v>0</v>
      </c>
      <c r="E28" s="62">
        <f>IF(AND(B27&lt;B26,E27=E26,E27&gt;0),E26+(B26-B27)/K27,E27)</f>
        <v>0</v>
      </c>
      <c r="F28" s="62">
        <f>IF(AND(B27&lt;B26,F27=F26,F27&gt;0),F26+(B26-B27)/K27,F27)</f>
        <v>0</v>
      </c>
      <c r="G28" s="62">
        <f>IF(AND(B27&lt;B26,G27=G26,G27&gt;0),G26+(B26-B27)/K27,G27)</f>
        <v>0</v>
      </c>
      <c r="H28" s="62">
        <f>IF(AND(B27&lt;B26,H27=H26,H27&gt;0),H26+(B26-B27)/K27,H27)</f>
        <v>0</v>
      </c>
      <c r="I28" s="110">
        <f>IF(AND(B27&lt;B26,I27=I26,I27&gt;0),I26+(B26-B27)/K27,I27)</f>
        <v>0</v>
      </c>
    </row>
    <row r="29" spans="1:11">
      <c r="A29" s="409">
        <f>IF(B29&gt;0,Zusatzeingaben!A104,0)</f>
        <v>0</v>
      </c>
      <c r="B29" s="284">
        <f>SUM(C29:I29)</f>
        <v>0</v>
      </c>
      <c r="C29" s="62">
        <f>IF(Zusatzeingaben!$K$18&gt;0,C27,C28)</f>
        <v>0</v>
      </c>
      <c r="D29" s="62">
        <f>IF(Zusatzeingaben!$K$18&gt;0,D27,D28)</f>
        <v>0</v>
      </c>
      <c r="E29" s="62">
        <f>IF(Zusatzeingaben!$K$18&gt;0,E27,E28)</f>
        <v>0</v>
      </c>
      <c r="F29" s="62">
        <f>IF(Zusatzeingaben!$K$18&gt;0,F27,F28)</f>
        <v>0</v>
      </c>
      <c r="G29" s="62">
        <f>IF(Zusatzeingaben!$K$18&gt;0,G27,G28)</f>
        <v>0</v>
      </c>
      <c r="H29" s="62">
        <f>IF(Zusatzeingaben!$K$18&gt;0,H27,H28)</f>
        <v>0</v>
      </c>
      <c r="I29" s="110">
        <f>IF(Zusatzeingaben!$K$18&gt;0,I27,I28)</f>
        <v>0</v>
      </c>
    </row>
    <row r="30" spans="1:11" hidden="1">
      <c r="A30" s="411"/>
      <c r="B30" s="62">
        <f>Zusatzeingaben!C105</f>
        <v>0</v>
      </c>
      <c r="C30" s="62">
        <f>B30/B7</f>
        <v>0</v>
      </c>
      <c r="D30" s="62">
        <f>IF(D9=0,0,B30/B7)</f>
        <v>0</v>
      </c>
      <c r="E30" s="62">
        <f>IF(Zusatzeingaben!E33=0,0,B30/B7)</f>
        <v>0</v>
      </c>
      <c r="F30" s="62">
        <f>IF(Zusatzeingaben!F33=0,0,B30/B7)</f>
        <v>0</v>
      </c>
      <c r="G30" s="62">
        <f>IF(Zusatzeingaben!G33=0,0,B30/B7)</f>
        <v>0</v>
      </c>
      <c r="H30" s="62">
        <f>IF(Zusatzeingaben!H33=0,0,B30/B7)</f>
        <v>0</v>
      </c>
      <c r="I30" s="110">
        <f>IF(Zusatzeingaben!I33=0,0,B30/B7)</f>
        <v>0</v>
      </c>
    </row>
    <row r="31" spans="1:11" hidden="1">
      <c r="A31" s="409"/>
      <c r="B31" s="62">
        <f>SUM(C31:I31)</f>
        <v>0</v>
      </c>
      <c r="C31" s="62">
        <f>C30</f>
        <v>0</v>
      </c>
      <c r="D31" s="62">
        <f>D30</f>
        <v>0</v>
      </c>
      <c r="E31" s="62">
        <f>IF(Zusatzeingaben!E8&gt;Zusatzeingaben!E2,E30*Zusatzeingaben!E14/30,IF(Zusatzeingaben!E18=25,E30*Zusatzeingaben!E10/30,E30))</f>
        <v>0</v>
      </c>
      <c r="F31" s="62">
        <f>IF(Zusatzeingaben!F8&gt;Zusatzeingaben!E2,F30*Zusatzeingaben!F14/30,IF(Zusatzeingaben!F18=25,F30*Zusatzeingaben!F10/30,F30))</f>
        <v>0</v>
      </c>
      <c r="G31" s="62">
        <f>IF(Zusatzeingaben!G8&gt;Zusatzeingaben!E2,G30*Zusatzeingaben!G14/30,IF(Zusatzeingaben!G18=25,G30*Zusatzeingaben!G10/30,G30))</f>
        <v>0</v>
      </c>
      <c r="H31" s="62">
        <f>IF(Zusatzeingaben!H8&gt;Zusatzeingaben!E2,H30*Zusatzeingaben!H14/30,IF(Zusatzeingaben!H18=25,H30*Zusatzeingaben!H10/30,H30))</f>
        <v>0</v>
      </c>
      <c r="I31" s="110">
        <f>IF(Zusatzeingaben!I8&gt;Zusatzeingaben!E2,I30*Zusatzeingaben!I14/30,IF(Zusatzeingaben!I18=25,I30*Zusatzeingaben!I10/30,I30))</f>
        <v>0</v>
      </c>
      <c r="K31" s="359">
        <f>COUNTIF(C31:I31,C31)</f>
        <v>7</v>
      </c>
    </row>
    <row r="32" spans="1:11" hidden="1">
      <c r="A32" s="411"/>
      <c r="B32" s="62">
        <f>SUM(C32:I32)</f>
        <v>0</v>
      </c>
      <c r="C32" s="62">
        <f>IF(AND(B31&lt;B30,C31=C30,C31&gt;0),C30+(B30-B31)/K31,C31)</f>
        <v>0</v>
      </c>
      <c r="D32" s="62">
        <f>IF(AND(B31&lt;B30,D31=D30,D31&gt;0),D30+(B30-B31)/K31,D31)</f>
        <v>0</v>
      </c>
      <c r="E32" s="62">
        <f>IF(AND(B31&lt;B30,E31=E30,E31&gt;0),E30+(B30-B31)/K31,E31)</f>
        <v>0</v>
      </c>
      <c r="F32" s="62">
        <f>IF(AND(B31&lt;B30,F31=F30,F31&gt;0),F30+(B30-B31)/K31,F31)</f>
        <v>0</v>
      </c>
      <c r="G32" s="62">
        <f>IF(AND(B31&lt;B30,G31=G30,G31&gt;0),G30+(B30-B31)/K31,G31)</f>
        <v>0</v>
      </c>
      <c r="H32" s="62">
        <f>IF(AND(B31&lt;B30,H31=H30,H31&gt;0),H30+(B30-B31)/K31,H31)</f>
        <v>0</v>
      </c>
      <c r="I32" s="110">
        <f>IF(AND(B31&lt;B30,I31=I30,I31&gt;0),I30+(B30-B31)/K31,I31)</f>
        <v>0</v>
      </c>
    </row>
    <row r="33" spans="1:11">
      <c r="A33" s="409">
        <f>IF(B33&gt;0,Zusatzeingaben!A105,0)</f>
        <v>0</v>
      </c>
      <c r="B33" s="284">
        <f>SUM(C33:I33)</f>
        <v>0</v>
      </c>
      <c r="C33" s="62">
        <f>IF(Zusatzeingaben!$K$18&gt;0,C31,C32)</f>
        <v>0</v>
      </c>
      <c r="D33" s="62">
        <f>IF(Zusatzeingaben!$K$18&gt;0,D31,D32)</f>
        <v>0</v>
      </c>
      <c r="E33" s="62">
        <f>IF(Zusatzeingaben!$K$18&gt;0,E31,E32)</f>
        <v>0</v>
      </c>
      <c r="F33" s="62">
        <f>IF(Zusatzeingaben!$K$18&gt;0,F31,F32)</f>
        <v>0</v>
      </c>
      <c r="G33" s="62">
        <f>IF(Zusatzeingaben!$K$18&gt;0,G31,G32)</f>
        <v>0</v>
      </c>
      <c r="H33" s="62">
        <f>IF(Zusatzeingaben!$K$18&gt;0,H31,H32)</f>
        <v>0</v>
      </c>
      <c r="I33" s="110">
        <f>IF(Zusatzeingaben!$K$18&gt;0,I31,I32)</f>
        <v>0</v>
      </c>
    </row>
    <row r="34" spans="1:11" hidden="1">
      <c r="A34" s="411"/>
      <c r="B34" s="62">
        <f>Zusatzeingaben!C106</f>
        <v>0</v>
      </c>
      <c r="C34" s="62">
        <f>B34/B7</f>
        <v>0</v>
      </c>
      <c r="D34" s="62">
        <f>IF(D9=0,0,B34/B7)</f>
        <v>0</v>
      </c>
      <c r="E34" s="62">
        <f>IF(Zusatzeingaben!E33=0,0,B34/B7)</f>
        <v>0</v>
      </c>
      <c r="F34" s="62">
        <f>IF(Zusatzeingaben!F33=0,0,B34/B7)</f>
        <v>0</v>
      </c>
      <c r="G34" s="62">
        <f>IF(Zusatzeingaben!G33=0,0,B34/B7)</f>
        <v>0</v>
      </c>
      <c r="H34" s="62">
        <f>IF(Zusatzeingaben!H33=0,0,B34/B7)</f>
        <v>0</v>
      </c>
      <c r="I34" s="110">
        <f>IF(Zusatzeingaben!I33=0,0,B34/B7)</f>
        <v>0</v>
      </c>
    </row>
    <row r="35" spans="1:11" hidden="1">
      <c r="A35" s="409"/>
      <c r="B35" s="62">
        <f t="shared" ref="B35:B42" si="1">SUM(C35:I35)</f>
        <v>0</v>
      </c>
      <c r="C35" s="62">
        <f>C34</f>
        <v>0</v>
      </c>
      <c r="D35" s="62">
        <f>D34</f>
        <v>0</v>
      </c>
      <c r="E35" s="62">
        <f>IF(Zusatzeingaben!E8&gt;Zusatzeingaben!E2,E34*Zusatzeingaben!E14/30,IF(Zusatzeingaben!E18=25,E34*Zusatzeingaben!E10/30,E34))</f>
        <v>0</v>
      </c>
      <c r="F35" s="62">
        <f>IF(Zusatzeingaben!F8&gt;Zusatzeingaben!E2,F34*Zusatzeingaben!F14/30,IF(Zusatzeingaben!F18=25,F34*Zusatzeingaben!F10/30,F34))</f>
        <v>0</v>
      </c>
      <c r="G35" s="62">
        <f>IF(Zusatzeingaben!G8&gt;Zusatzeingaben!E2,G34*Zusatzeingaben!G14/30,IF(Zusatzeingaben!G18=25,G34*Zusatzeingaben!G10/30,G34))</f>
        <v>0</v>
      </c>
      <c r="H35" s="62">
        <f>IF(Zusatzeingaben!H8&gt;Zusatzeingaben!E2,H34*Zusatzeingaben!H14/30,IF(Zusatzeingaben!H18=25,H34*Zusatzeingaben!H10/30,H34))</f>
        <v>0</v>
      </c>
      <c r="I35" s="110">
        <f>IF(Zusatzeingaben!I8&gt;Zusatzeingaben!E2,I34*Zusatzeingaben!I14/30,IF(Zusatzeingaben!I18=25,I34*Zusatzeingaben!I10/30,I34))</f>
        <v>0</v>
      </c>
      <c r="K35" s="359">
        <f>COUNTIF(C35:I35,C35)</f>
        <v>7</v>
      </c>
    </row>
    <row r="36" spans="1:11" hidden="1">
      <c r="A36" s="411"/>
      <c r="B36" s="62">
        <f t="shared" si="1"/>
        <v>0</v>
      </c>
      <c r="C36" s="62">
        <f>IF(AND(B35&lt;B34,C35=C34,C35&gt;0),C34+(B34-B35)/K35,C35)</f>
        <v>0</v>
      </c>
      <c r="D36" s="62">
        <f>IF(AND(B35&lt;B34,D35=D34,D35&gt;0),D34+(B34-B35)/K35,D35)</f>
        <v>0</v>
      </c>
      <c r="E36" s="62">
        <f>IF(AND(B35&lt;B34,E35=E34,E35&gt;0),E34+(B34-B35)/K35,E35)</f>
        <v>0</v>
      </c>
      <c r="F36" s="62">
        <f>IF(AND(B35&lt;B34,F35=F34,F35&gt;0),F34+(B34-B35)/K35,F35)</f>
        <v>0</v>
      </c>
      <c r="G36" s="62">
        <f>IF(AND(B35&lt;B34,G35=G34,G35&gt;0),G34+(B34-B35)/K35,G35)</f>
        <v>0</v>
      </c>
      <c r="H36" s="62">
        <f>IF(AND(B35&lt;B34,H35=H34,H35&gt;0),H34+(B34-B35)/K35,H35)</f>
        <v>0</v>
      </c>
      <c r="I36" s="110">
        <f>IF(AND(B35&lt;B34,I35=I34,I35&gt;0),I34+(B34-B35)/K35,I35)</f>
        <v>0</v>
      </c>
    </row>
    <row r="37" spans="1:11">
      <c r="A37" s="409">
        <f>IF(B37&gt;0,Zusatzeingaben!A106,0)</f>
        <v>0</v>
      </c>
      <c r="B37" s="284">
        <f t="shared" si="1"/>
        <v>0</v>
      </c>
      <c r="C37" s="62">
        <f>IF(Zusatzeingaben!$K$18&gt;0,C35,C36)</f>
        <v>0</v>
      </c>
      <c r="D37" s="62">
        <f>IF(Zusatzeingaben!$K$18&gt;0,D35,D36)</f>
        <v>0</v>
      </c>
      <c r="E37" s="62">
        <f>IF(Zusatzeingaben!$K$18&gt;0,E35,E36)</f>
        <v>0</v>
      </c>
      <c r="F37" s="62">
        <f>IF(Zusatzeingaben!$K$18&gt;0,F35,F36)</f>
        <v>0</v>
      </c>
      <c r="G37" s="62">
        <f>IF(Zusatzeingaben!$K$18&gt;0,G35,G36)</f>
        <v>0</v>
      </c>
      <c r="H37" s="62">
        <f>IF(Zusatzeingaben!$K$18&gt;0,H35,H36)</f>
        <v>0</v>
      </c>
      <c r="I37" s="110">
        <f>IF(Zusatzeingaben!$K$18&gt;0,I35,I36)</f>
        <v>0</v>
      </c>
    </row>
    <row r="38" spans="1:11" hidden="1">
      <c r="A38" s="409"/>
      <c r="B38" s="62">
        <f t="shared" si="1"/>
        <v>0</v>
      </c>
      <c r="C38" s="62">
        <f>Zusatzeingaben!C114</f>
        <v>0</v>
      </c>
      <c r="D38" s="62">
        <f>Zusatzeingaben!D114</f>
        <v>0</v>
      </c>
      <c r="E38" s="62">
        <f>Zusatzeingaben!E114</f>
        <v>0</v>
      </c>
      <c r="F38" s="62">
        <f>Zusatzeingaben!F114</f>
        <v>0</v>
      </c>
      <c r="G38" s="62">
        <f>Zusatzeingaben!G114</f>
        <v>0</v>
      </c>
      <c r="H38" s="62">
        <f>Zusatzeingaben!H114</f>
        <v>0</v>
      </c>
      <c r="I38" s="110">
        <f>Zusatzeingaben!I114</f>
        <v>0</v>
      </c>
    </row>
    <row r="39" spans="1:11" hidden="1">
      <c r="A39" s="409"/>
      <c r="B39" s="62">
        <f t="shared" si="1"/>
        <v>0</v>
      </c>
      <c r="C39" s="62">
        <f>C38</f>
        <v>0</v>
      </c>
      <c r="D39" s="62">
        <f>D38</f>
        <v>0</v>
      </c>
      <c r="E39" s="62">
        <f>IF(Zusatzeingaben!E8&gt;Zusatzeingaben!$E$2,E38*Zusatzeingaben!E14/30,IF(Zusatzeingaben!E18=25,E38*Zusatzeingaben!E10/30,E38))</f>
        <v>0</v>
      </c>
      <c r="F39" s="62">
        <f>IF(Zusatzeingaben!F8&gt;Zusatzeingaben!$E$2,F38*Zusatzeingaben!F14/30,IF(Zusatzeingaben!F18=25,F38*Zusatzeingaben!F10/30,F38))</f>
        <v>0</v>
      </c>
      <c r="G39" s="62">
        <f>IF(Zusatzeingaben!G8&gt;Zusatzeingaben!$E$2,G38*Zusatzeingaben!G14/30,IF(Zusatzeingaben!G18=25,G38*Zusatzeingaben!G10/30,G38))</f>
        <v>0</v>
      </c>
      <c r="H39" s="62">
        <f>IF(Zusatzeingaben!H8&gt;Zusatzeingaben!$E$2,H38*Zusatzeingaben!H14/30,IF(Zusatzeingaben!H18=25,H38*Zusatzeingaben!H10/30,H38))</f>
        <v>0</v>
      </c>
      <c r="I39" s="110">
        <f>IF(Zusatzeingaben!I8&gt;Zusatzeingaben!$E$2,I38*Zusatzeingaben!I14/30,IF(Zusatzeingaben!I18=25,I38*Zusatzeingaben!I10/30,I38))</f>
        <v>0</v>
      </c>
      <c r="K39" s="359">
        <f>COUNTIF(C39:I39,C39)</f>
        <v>7</v>
      </c>
    </row>
    <row r="40" spans="1:11" hidden="1">
      <c r="A40" s="409"/>
      <c r="B40" s="62">
        <f t="shared" si="1"/>
        <v>0</v>
      </c>
      <c r="C40" s="62">
        <f>IF(AND(B39&lt;B38,C39=C38,C39&gt;0),C38+(B38-B39)/K39,C39)</f>
        <v>0</v>
      </c>
      <c r="D40" s="62">
        <f>IF(AND(B39&lt;B38,D39=D38,D39&gt;0),D38+(B38-B39)/K39,D39)</f>
        <v>0</v>
      </c>
      <c r="E40" s="62">
        <f>IF(AND(B39&lt;B38,E39=E38,E39&gt;0),E38+(B38-B39)/K39,E39)</f>
        <v>0</v>
      </c>
      <c r="F40" s="62">
        <f>IF(AND(B39&lt;B38,F39=F38,F39&gt;0),F38+(B38-B39)/K39,F39)</f>
        <v>0</v>
      </c>
      <c r="G40" s="62">
        <f>IF(AND(B39&lt;B38,G39=G38,G39&gt;0),G38+(B38-B39)/K39,G39)</f>
        <v>0</v>
      </c>
      <c r="H40" s="62">
        <f>IF(AND(B39&lt;B38,H39=H38,H39&gt;0),H38+(B38-B39)/K39,H39)</f>
        <v>0</v>
      </c>
      <c r="I40" s="110">
        <f>IF(AND(B39&lt;B38,I39=I38,I39&gt;0),I38+(B38-B39)/K39,I39)</f>
        <v>0</v>
      </c>
    </row>
    <row r="41" spans="1:11" hidden="1">
      <c r="A41" s="411"/>
      <c r="B41" s="62">
        <f t="shared" si="1"/>
        <v>0</v>
      </c>
      <c r="C41" s="62">
        <f>IF(Zusatzeingaben!$B$107&gt;0,C40,Zusatzeingaben!C114)</f>
        <v>0</v>
      </c>
      <c r="D41" s="62">
        <f>IF(Zusatzeingaben!$B$107&gt;0,D40,Zusatzeingaben!D114)</f>
        <v>0</v>
      </c>
      <c r="E41" s="62">
        <f>IF(Zusatzeingaben!$B$107&gt;0,E40,Zusatzeingaben!E114)</f>
        <v>0</v>
      </c>
      <c r="F41" s="62">
        <f>IF(Zusatzeingaben!$B$107&gt;0,F40,Zusatzeingaben!F114)</f>
        <v>0</v>
      </c>
      <c r="G41" s="62">
        <f>IF(Zusatzeingaben!$B$107&gt;0,G40,Zusatzeingaben!G114)</f>
        <v>0</v>
      </c>
      <c r="H41" s="62">
        <f>IF(Zusatzeingaben!$B$107&gt;0,H40,Zusatzeingaben!H114)</f>
        <v>0</v>
      </c>
      <c r="I41" s="110">
        <f>IF(Zusatzeingaben!$B$107&gt;0,I40,Zusatzeingaben!I114)</f>
        <v>0</v>
      </c>
    </row>
    <row r="42" spans="1:11">
      <c r="A42" s="409">
        <f>IF(B42&gt;0,"./. Kostenanteil für Haushaltsstrom",0)</f>
        <v>0</v>
      </c>
      <c r="B42" s="284">
        <f t="shared" si="1"/>
        <v>0</v>
      </c>
      <c r="C42" s="62">
        <f>IF(AND(Zusatzeingaben!$K$18&gt;0,Zusatzeingaben!$B$107&gt;0),C39,C41)</f>
        <v>0</v>
      </c>
      <c r="D42" s="62">
        <f>IF(AND(Zusatzeingaben!$K$18&gt;0,Zusatzeingaben!$B$107&gt;0),D39,D41)</f>
        <v>0</v>
      </c>
      <c r="E42" s="62">
        <f>IF(AND(Zusatzeingaben!$K$18&gt;0,Zusatzeingaben!$B$107&gt;0),E39,E41)</f>
        <v>0</v>
      </c>
      <c r="F42" s="62">
        <f>IF(AND(Zusatzeingaben!$K$18&gt;0,Zusatzeingaben!$B$107&gt;0),F39,F41)</f>
        <v>0</v>
      </c>
      <c r="G42" s="62">
        <f>IF(AND(Zusatzeingaben!$K$18&gt;0,Zusatzeingaben!$B$107&gt;0),G39,G41)</f>
        <v>0</v>
      </c>
      <c r="H42" s="62">
        <f>IF(AND(Zusatzeingaben!$K$18&gt;0,Zusatzeingaben!$B$107&gt;0),H39,H41)</f>
        <v>0</v>
      </c>
      <c r="I42" s="110">
        <f>IF(AND(Zusatzeingaben!$K$18&gt;0,Zusatzeingaben!$B$107&gt;0),I39,I41)</f>
        <v>0</v>
      </c>
    </row>
    <row r="43" spans="1:11" hidden="1">
      <c r="A43" s="411"/>
      <c r="B43" s="62">
        <f>Zusatzeingaben!C115</f>
        <v>0</v>
      </c>
      <c r="C43" s="62">
        <f>B43/B7</f>
        <v>0</v>
      </c>
      <c r="D43" s="62">
        <f>IF(D9=0,0,B43/B7)</f>
        <v>0</v>
      </c>
      <c r="E43" s="62">
        <f>IF(Zusatzeingaben!E33=0,0,B43/B7)</f>
        <v>0</v>
      </c>
      <c r="F43" s="62">
        <f>IF(Zusatzeingaben!F33=0,0,B43/B7)</f>
        <v>0</v>
      </c>
      <c r="G43" s="62">
        <f>IF(Zusatzeingaben!G33=0,0,B43/B7)</f>
        <v>0</v>
      </c>
      <c r="H43" s="62">
        <f>IF(Zusatzeingaben!H33=0,0,B43/B7)</f>
        <v>0</v>
      </c>
      <c r="I43" s="110">
        <f>IF(Zusatzeingaben!I33=0,0,B43/B7)</f>
        <v>0</v>
      </c>
    </row>
    <row r="44" spans="1:11" hidden="1">
      <c r="A44" s="409"/>
      <c r="B44" s="62">
        <f>SUM(C44:I44)</f>
        <v>0</v>
      </c>
      <c r="C44" s="62">
        <f>C43</f>
        <v>0</v>
      </c>
      <c r="D44" s="62">
        <f>D43</f>
        <v>0</v>
      </c>
      <c r="E44" s="62">
        <f>IF(Zusatzeingaben!E8&gt;Zusatzeingaben!E2,E43*Zusatzeingaben!E14/30,IF(Zusatzeingaben!E18=25,E43*Zusatzeingaben!E10/30,E43))</f>
        <v>0</v>
      </c>
      <c r="F44" s="62">
        <f>IF(Zusatzeingaben!F8&gt;Zusatzeingaben!E2,F43*Zusatzeingaben!F14/30,IF(Zusatzeingaben!F18=25,F43*Zusatzeingaben!F10/30,F43))</f>
        <v>0</v>
      </c>
      <c r="G44" s="62">
        <f>IF(Zusatzeingaben!G8&gt;Zusatzeingaben!E2,G43*Zusatzeingaben!G14/30,IF(Zusatzeingaben!G18=25,G43*Zusatzeingaben!G10/30,G43))</f>
        <v>0</v>
      </c>
      <c r="H44" s="62">
        <f>IF(Zusatzeingaben!H8&gt;Zusatzeingaben!E2,H43*Zusatzeingaben!H14/30,IF(Zusatzeingaben!H18=25,H43*Zusatzeingaben!H10/30,H43))</f>
        <v>0</v>
      </c>
      <c r="I44" s="110">
        <f>IF(Zusatzeingaben!I8&gt;Zusatzeingaben!E2,I43*Zusatzeingaben!I14/30,IF(Zusatzeingaben!I18=25,I43*Zusatzeingaben!I10/30,I43))</f>
        <v>0</v>
      </c>
      <c r="K44" s="359">
        <f>COUNTIF(C44:I44,C44)</f>
        <v>7</v>
      </c>
    </row>
    <row r="45" spans="1:11" hidden="1">
      <c r="A45" s="411"/>
      <c r="B45" s="62">
        <f>SUM(C45:I45)</f>
        <v>0</v>
      </c>
      <c r="C45" s="62">
        <f>IF(AND(B44&lt;B43,C44=C43,C44&gt;0),C43+(B43-B44)/K44,C44)</f>
        <v>0</v>
      </c>
      <c r="D45" s="62">
        <f>IF(AND(B44&lt;B43,D44=D43,D44&gt;0),D43+(B43-B44)/K44,D44)</f>
        <v>0</v>
      </c>
      <c r="E45" s="62">
        <f>IF(AND(B44&lt;B43,E44=E43,E44&gt;0),E43+(B43-B44)/K44,E44)</f>
        <v>0</v>
      </c>
      <c r="F45" s="62">
        <f>IF(AND(B44&lt;B43,F44=F43,F44&gt;0),F43+(B43-B44)/K44,F44)</f>
        <v>0</v>
      </c>
      <c r="G45" s="62">
        <f>IF(AND(B44&lt;B43,G44=G43,G44&gt;0),G43+(B43-B44)/K44,G44)</f>
        <v>0</v>
      </c>
      <c r="H45" s="62">
        <f>IF(AND(B44&lt;B43,H44=H43,H44&gt;0),H43+(B43-B44)/K44,H44)</f>
        <v>0</v>
      </c>
      <c r="I45" s="110">
        <f>IF(AND(B44&lt;B43,I44=I43,I44&gt;0),I43+(B43-B44)/K44,I44)</f>
        <v>0</v>
      </c>
    </row>
    <row r="46" spans="1:11">
      <c r="A46" s="409">
        <f>IF(B46&gt;0,"Heizkosten",0)</f>
        <v>0</v>
      </c>
      <c r="B46" s="284">
        <f>SUM(C46:I46)</f>
        <v>0</v>
      </c>
      <c r="C46" s="62">
        <f>IF(Zusatzeingaben!$K$18&gt;0,C44,C45)</f>
        <v>0</v>
      </c>
      <c r="D46" s="62">
        <f>IF(Zusatzeingaben!$K$18&gt;0,D44,D45)</f>
        <v>0</v>
      </c>
      <c r="E46" s="62">
        <f>IF(Zusatzeingaben!$K$18&gt;0,E44,E45)</f>
        <v>0</v>
      </c>
      <c r="F46" s="62">
        <f>IF(Zusatzeingaben!$K$18&gt;0,F44,F45)</f>
        <v>0</v>
      </c>
      <c r="G46" s="62">
        <f>IF(Zusatzeingaben!$K$18&gt;0,G44,G45)</f>
        <v>0</v>
      </c>
      <c r="H46" s="62">
        <f>IF(Zusatzeingaben!$K$18&gt;0,H44,H45)</f>
        <v>0</v>
      </c>
      <c r="I46" s="110">
        <f>IF(Zusatzeingaben!$K$18&gt;0,I44,I45)</f>
        <v>0</v>
      </c>
    </row>
    <row r="47" spans="1:11" hidden="1">
      <c r="A47" s="230" t="s">
        <v>41</v>
      </c>
      <c r="B47" s="209">
        <f>B24-B29+B33+B37-B42+B46</f>
        <v>0</v>
      </c>
      <c r="C47" s="209">
        <f t="shared" ref="C47:I47" si="2">C24-C29+C33+C37-C42+C46</f>
        <v>0</v>
      </c>
      <c r="D47" s="209">
        <f t="shared" si="2"/>
        <v>0</v>
      </c>
      <c r="E47" s="209">
        <f t="shared" si="2"/>
        <v>0</v>
      </c>
      <c r="F47" s="209">
        <f t="shared" si="2"/>
        <v>0</v>
      </c>
      <c r="G47" s="209">
        <f t="shared" si="2"/>
        <v>0</v>
      </c>
      <c r="H47" s="209">
        <f t="shared" si="2"/>
        <v>0</v>
      </c>
      <c r="I47" s="406">
        <f t="shared" si="2"/>
        <v>0</v>
      </c>
    </row>
    <row r="48" spans="1:11" ht="17.25" customHeight="1">
      <c r="A48" s="231">
        <f>IF(B49&gt;0,"Sonstiger Bedarf",0)</f>
        <v>0</v>
      </c>
      <c r="B48" s="13"/>
      <c r="C48" s="207"/>
      <c r="D48" s="207"/>
      <c r="E48" s="207"/>
      <c r="F48" s="207"/>
      <c r="G48" s="207"/>
      <c r="H48" s="207"/>
      <c r="I48" s="227"/>
    </row>
    <row r="49" spans="1:9" ht="16.5" customHeight="1" thickBot="1">
      <c r="A49" s="232">
        <f>IF(B49&gt;0,Zusatzeingaben!A117,0)</f>
        <v>0</v>
      </c>
      <c r="B49" s="210">
        <f>SUM(C49:I49)</f>
        <v>0</v>
      </c>
      <c r="C49" s="211">
        <f>Zusatzeingaben!C117</f>
        <v>0</v>
      </c>
      <c r="D49" s="211">
        <f>Zusatzeingaben!D117</f>
        <v>0</v>
      </c>
      <c r="E49" s="211">
        <f>Zusatzeingaben!E117</f>
        <v>0</v>
      </c>
      <c r="F49" s="211">
        <f>Zusatzeingaben!F117</f>
        <v>0</v>
      </c>
      <c r="G49" s="211">
        <f>Zusatzeingaben!G117</f>
        <v>0</v>
      </c>
      <c r="H49" s="211">
        <f>Zusatzeingaben!H117</f>
        <v>0</v>
      </c>
      <c r="I49" s="233">
        <f>Zusatzeingaben!I117</f>
        <v>0</v>
      </c>
    </row>
    <row r="50" spans="1:9" ht="23.25" customHeight="1" thickTop="1" thickBot="1">
      <c r="A50" s="343" t="s">
        <v>21</v>
      </c>
      <c r="B50" s="282">
        <f>SUM(C50:I50)</f>
        <v>416</v>
      </c>
      <c r="C50" s="282">
        <f t="shared" ref="C50:I50" si="3">C11+C13+C14+C15+C16+C17+C18+C19+C47+C49</f>
        <v>416</v>
      </c>
      <c r="D50" s="282">
        <f t="shared" si="3"/>
        <v>0</v>
      </c>
      <c r="E50" s="282">
        <f t="shared" si="3"/>
        <v>0</v>
      </c>
      <c r="F50" s="282">
        <f t="shared" si="3"/>
        <v>0</v>
      </c>
      <c r="G50" s="282">
        <f t="shared" si="3"/>
        <v>0</v>
      </c>
      <c r="H50" s="282">
        <f t="shared" si="3"/>
        <v>0</v>
      </c>
      <c r="I50" s="283">
        <f t="shared" si="3"/>
        <v>0</v>
      </c>
    </row>
    <row r="51" spans="1:9" ht="21" customHeight="1" thickBot="1">
      <c r="C51" s="173">
        <f>VLOOKUP(E3,Bedarfssätze!B7:C14,2)</f>
        <v>391</v>
      </c>
      <c r="D51" s="173">
        <f>VLOOKUP(E3,Bedarfssätze!E7:F14,2)</f>
        <v>353</v>
      </c>
      <c r="E51" s="173">
        <f>VLOOKUP(E3,Bedarfssätze!B25:C32,2)</f>
        <v>296</v>
      </c>
      <c r="F51" s="173">
        <f>VLOOKUP(E3,Bedarfssätze!E25:F32,2)</f>
        <v>261</v>
      </c>
      <c r="G51" s="173">
        <f>VLOOKUP(E3,Bedarfssätze!H25:I32,2)</f>
        <v>229</v>
      </c>
      <c r="H51" s="173">
        <f>VLOOKUP(E3,Bedarfssätze!H7:I14,2)</f>
        <v>313</v>
      </c>
    </row>
    <row r="52" spans="1:9" ht="23.25">
      <c r="A52" s="221"/>
      <c r="B52" s="345" t="s">
        <v>22</v>
      </c>
      <c r="C52" s="222"/>
      <c r="D52" s="222"/>
      <c r="E52" s="222"/>
      <c r="F52" s="222"/>
      <c r="G52" s="222"/>
      <c r="H52" s="222"/>
      <c r="I52" s="223"/>
    </row>
    <row r="53" spans="1:9" ht="17.25" customHeight="1">
      <c r="A53" s="224"/>
      <c r="B53" s="341" t="s">
        <v>1</v>
      </c>
      <c r="C53" s="341" t="str">
        <f>Zusatzeingaben!C4</f>
        <v>Antragsteller</v>
      </c>
      <c r="D53" s="341" t="str">
        <f>Zusatzeingaben!D4</f>
        <v>Partner(in)</v>
      </c>
      <c r="E53" s="341" t="str">
        <f>Zusatzeingaben!E4</f>
        <v>Kind 1</v>
      </c>
      <c r="F53" s="341" t="s">
        <v>8</v>
      </c>
      <c r="G53" s="341" t="s">
        <v>9</v>
      </c>
      <c r="H53" s="341" t="s">
        <v>10</v>
      </c>
      <c r="I53" s="342" t="s">
        <v>34</v>
      </c>
    </row>
    <row r="54" spans="1:9" hidden="1">
      <c r="A54" s="231" t="s">
        <v>54</v>
      </c>
      <c r="B54" s="208">
        <f>SUM(C54:I54)</f>
        <v>0</v>
      </c>
      <c r="C54" s="13">
        <f>Zusatzeingaben!C140</f>
        <v>0</v>
      </c>
      <c r="D54" s="13">
        <f>Zusatzeingaben!D140</f>
        <v>0</v>
      </c>
      <c r="E54" s="13">
        <f>Zusatzeingaben!E140</f>
        <v>0</v>
      </c>
      <c r="F54" s="13">
        <f>Zusatzeingaben!F140</f>
        <v>0</v>
      </c>
      <c r="G54" s="13">
        <f>Zusatzeingaben!G140</f>
        <v>0</v>
      </c>
      <c r="H54" s="13">
        <f>Zusatzeingaben!H140</f>
        <v>0</v>
      </c>
      <c r="I54" s="13">
        <f>Zusatzeingaben!I140</f>
        <v>0</v>
      </c>
    </row>
    <row r="55" spans="1:9">
      <c r="A55" s="412">
        <f>IF(B55&gt;0,"Nettolohn",0)</f>
        <v>0</v>
      </c>
      <c r="B55" s="284">
        <f>SUM(C55:I55)</f>
        <v>0</v>
      </c>
      <c r="C55" s="62">
        <f>Zusatzeingaben!C133</f>
        <v>0</v>
      </c>
      <c r="D55" s="62">
        <f>Zusatzeingaben!D133</f>
        <v>0</v>
      </c>
      <c r="E55" s="62">
        <f>Zusatzeingaben!E133</f>
        <v>0</v>
      </c>
      <c r="F55" s="62">
        <f>Zusatzeingaben!F133</f>
        <v>0</v>
      </c>
      <c r="G55" s="62">
        <f>Zusatzeingaben!G133</f>
        <v>0</v>
      </c>
      <c r="H55" s="62">
        <f>Zusatzeingaben!H133</f>
        <v>0</v>
      </c>
      <c r="I55" s="110">
        <f>Zusatzeingaben!I133</f>
        <v>0</v>
      </c>
    </row>
    <row r="56" spans="1:9">
      <c r="A56" s="408">
        <f>IF(B56&gt;0,"Ausbildungsvergütung (netto)",0)</f>
        <v>0</v>
      </c>
      <c r="B56" s="284">
        <f t="shared" ref="B56:B70" si="4">SUM(C56:I56)</f>
        <v>0</v>
      </c>
      <c r="C56" s="62">
        <f>Zusatzeingaben!C137</f>
        <v>0</v>
      </c>
      <c r="D56" s="62">
        <f>Zusatzeingaben!D137</f>
        <v>0</v>
      </c>
      <c r="E56" s="62">
        <f>Zusatzeingaben!E137</f>
        <v>0</v>
      </c>
      <c r="F56" s="62">
        <f>Zusatzeingaben!F137</f>
        <v>0</v>
      </c>
      <c r="G56" s="62">
        <f>Zusatzeingaben!G137</f>
        <v>0</v>
      </c>
      <c r="H56" s="62">
        <f>Zusatzeingaben!H137</f>
        <v>0</v>
      </c>
      <c r="I56" s="110">
        <f>Zusatzeingaben!I137</f>
        <v>0</v>
      </c>
    </row>
    <row r="57" spans="1:9">
      <c r="A57" s="408">
        <f>IF(B57&gt;0,Zusatzeingaben!A139,0)</f>
        <v>0</v>
      </c>
      <c r="B57" s="284">
        <f t="shared" si="4"/>
        <v>0</v>
      </c>
      <c r="C57" s="62">
        <f>Zusatzeingaben!C139</f>
        <v>0</v>
      </c>
      <c r="D57" s="62">
        <f>Zusatzeingaben!D139</f>
        <v>0</v>
      </c>
      <c r="E57" s="62">
        <f>Zusatzeingaben!E139</f>
        <v>0</v>
      </c>
      <c r="F57" s="62">
        <f>Zusatzeingaben!F139</f>
        <v>0</v>
      </c>
      <c r="G57" s="62">
        <f>Zusatzeingaben!G139</f>
        <v>0</v>
      </c>
      <c r="H57" s="62">
        <f>Zusatzeingaben!H139</f>
        <v>0</v>
      </c>
      <c r="I57" s="110">
        <f>Zusatzeingaben!I139</f>
        <v>0</v>
      </c>
    </row>
    <row r="58" spans="1:9">
      <c r="A58" s="408">
        <f>IF(B58&gt;0,"steuerfreie Einnahmen Ehrenamt o.ä.",0)</f>
        <v>0</v>
      </c>
      <c r="B58" s="284">
        <f t="shared" si="4"/>
        <v>0</v>
      </c>
      <c r="C58" s="62">
        <f>Zusatzeingaben!C138</f>
        <v>0</v>
      </c>
      <c r="D58" s="62">
        <f>Zusatzeingaben!D138</f>
        <v>0</v>
      </c>
      <c r="E58" s="62">
        <f>Zusatzeingaben!E138</f>
        <v>0</v>
      </c>
      <c r="F58" s="62">
        <f>Zusatzeingaben!F138</f>
        <v>0</v>
      </c>
      <c r="G58" s="62">
        <f>Zusatzeingaben!G138</f>
        <v>0</v>
      </c>
      <c r="H58" s="62">
        <f>Zusatzeingaben!H138</f>
        <v>0</v>
      </c>
      <c r="I58" s="110">
        <f>Zusatzeingaben!I138</f>
        <v>0</v>
      </c>
    </row>
    <row r="59" spans="1:9">
      <c r="A59" s="408">
        <f>IF(B59&gt;0,"Einkommen aus Freiwilligendienste",0)</f>
        <v>0</v>
      </c>
      <c r="B59" s="284">
        <f t="shared" si="4"/>
        <v>0</v>
      </c>
      <c r="C59" s="62">
        <f>Zusatzeingaben!C170</f>
        <v>0</v>
      </c>
      <c r="D59" s="62">
        <f>Zusatzeingaben!D170</f>
        <v>0</v>
      </c>
      <c r="E59" s="62">
        <f>Zusatzeingaben!E170</f>
        <v>0</v>
      </c>
      <c r="F59" s="62">
        <f>Zusatzeingaben!F170</f>
        <v>0</v>
      </c>
      <c r="G59" s="62">
        <f>Zusatzeingaben!G170</f>
        <v>0</v>
      </c>
      <c r="H59" s="62">
        <f>Zusatzeingaben!H170</f>
        <v>0</v>
      </c>
      <c r="I59" s="110">
        <f>Zusatzeingaben!I170</f>
        <v>0</v>
      </c>
    </row>
    <row r="60" spans="1:9">
      <c r="A60" s="408">
        <f>IF(B60&gt;0,"Elterngeld",0)</f>
        <v>0</v>
      </c>
      <c r="B60" s="284">
        <f t="shared" si="4"/>
        <v>0</v>
      </c>
      <c r="C60" s="62">
        <f>Zusatzeingaben!C174</f>
        <v>0</v>
      </c>
      <c r="D60" s="62">
        <f>Zusatzeingaben!D174</f>
        <v>0</v>
      </c>
      <c r="E60" s="62"/>
      <c r="F60" s="62"/>
      <c r="G60" s="62"/>
      <c r="H60" s="62"/>
      <c r="I60" s="110"/>
    </row>
    <row r="61" spans="1:9">
      <c r="A61" s="408">
        <f>IF(B61&gt;0,Zusatzeingaben!A180,0)</f>
        <v>0</v>
      </c>
      <c r="B61" s="284">
        <f t="shared" si="4"/>
        <v>0</v>
      </c>
      <c r="C61" s="62">
        <f>Zusatzeingaben!C180</f>
        <v>0</v>
      </c>
      <c r="D61" s="62">
        <f>Zusatzeingaben!D180</f>
        <v>0</v>
      </c>
      <c r="E61" s="62">
        <f>Zusatzeingaben!E180</f>
        <v>0</v>
      </c>
      <c r="F61" s="62">
        <f>Zusatzeingaben!F180</f>
        <v>0</v>
      </c>
      <c r="G61" s="62"/>
      <c r="H61" s="62"/>
      <c r="I61" s="110"/>
    </row>
    <row r="62" spans="1:9">
      <c r="A62" s="408">
        <f>IF(B62&gt;0,"Kindergeld",0)</f>
        <v>0</v>
      </c>
      <c r="B62" s="284">
        <f t="shared" si="4"/>
        <v>0</v>
      </c>
      <c r="C62" s="62">
        <f>Zusatzeingaben!C192</f>
        <v>0</v>
      </c>
      <c r="D62" s="62">
        <f>Zusatzeingaben!D192</f>
        <v>0</v>
      </c>
      <c r="E62" s="62">
        <f>Zusatzeingaben!E192</f>
        <v>0</v>
      </c>
      <c r="F62" s="62">
        <f>Zusatzeingaben!F192</f>
        <v>0</v>
      </c>
      <c r="G62" s="62">
        <f>Zusatzeingaben!G192</f>
        <v>0</v>
      </c>
      <c r="H62" s="62">
        <f>Zusatzeingaben!H192</f>
        <v>0</v>
      </c>
      <c r="I62" s="110">
        <f>Zusatzeingaben!I192</f>
        <v>0</v>
      </c>
    </row>
    <row r="63" spans="1:9">
      <c r="A63" s="408">
        <f>IF(B63&gt;0,"Unterhalt/Unterhaltsvorschuss",0)</f>
        <v>0</v>
      </c>
      <c r="B63" s="284">
        <f t="shared" si="4"/>
        <v>0</v>
      </c>
      <c r="C63" s="62">
        <f>Zusatzeingaben!C195</f>
        <v>0</v>
      </c>
      <c r="D63" s="62">
        <f>Zusatzeingaben!D195</f>
        <v>0</v>
      </c>
      <c r="E63" s="62">
        <f>Zusatzeingaben!E195</f>
        <v>0</v>
      </c>
      <c r="F63" s="62">
        <f>Zusatzeingaben!F195</f>
        <v>0</v>
      </c>
      <c r="G63" s="62">
        <f>Zusatzeingaben!G195</f>
        <v>0</v>
      </c>
      <c r="H63" s="62">
        <f>Zusatzeingaben!H195</f>
        <v>0</v>
      </c>
      <c r="I63" s="110">
        <f>Zusatzeingaben!I195</f>
        <v>0</v>
      </c>
    </row>
    <row r="64" spans="1:9">
      <c r="A64" s="408">
        <f>IF(B64&gt;0,Zusatzeingaben!A196,0)</f>
        <v>0</v>
      </c>
      <c r="B64" s="284">
        <f t="shared" si="4"/>
        <v>0</v>
      </c>
      <c r="C64" s="62">
        <f>Zusatzeingaben!C196</f>
        <v>0</v>
      </c>
      <c r="D64" s="62">
        <f>Zusatzeingaben!D196</f>
        <v>0</v>
      </c>
      <c r="E64" s="62">
        <f>Zusatzeingaben!E196</f>
        <v>0</v>
      </c>
      <c r="F64" s="62">
        <f>Zusatzeingaben!F196</f>
        <v>0</v>
      </c>
      <c r="G64" s="62">
        <f>Zusatzeingaben!G196</f>
        <v>0</v>
      </c>
      <c r="H64" s="62">
        <f>Zusatzeingaben!H196</f>
        <v>0</v>
      </c>
      <c r="I64" s="110">
        <f>Zusatzeingaben!I196</f>
        <v>0</v>
      </c>
    </row>
    <row r="65" spans="1:9">
      <c r="A65" s="408">
        <f>IF(B65&gt;0,"Altersrente",0)</f>
        <v>0</v>
      </c>
      <c r="B65" s="284">
        <f t="shared" si="4"/>
        <v>0</v>
      </c>
      <c r="C65" s="62">
        <f>Zusatzeingaben!C197</f>
        <v>0</v>
      </c>
      <c r="D65" s="62">
        <f>Zusatzeingaben!D197</f>
        <v>0</v>
      </c>
      <c r="E65" s="62">
        <f>Zusatzeingaben!E197</f>
        <v>0</v>
      </c>
      <c r="F65" s="62">
        <f>Zusatzeingaben!F197</f>
        <v>0</v>
      </c>
      <c r="G65" s="62">
        <f>Zusatzeingaben!G197</f>
        <v>0</v>
      </c>
      <c r="H65" s="62">
        <f>Zusatzeingaben!H197</f>
        <v>0</v>
      </c>
      <c r="I65" s="110">
        <f>Zusatzeingaben!I197</f>
        <v>0</v>
      </c>
    </row>
    <row r="66" spans="1:9">
      <c r="A66" s="408">
        <f>IF(B66&gt;0,Zusatzeingaben!A198,0)</f>
        <v>0</v>
      </c>
      <c r="B66" s="284">
        <f t="shared" si="4"/>
        <v>0</v>
      </c>
      <c r="C66" s="62">
        <f>Zusatzeingaben!C198</f>
        <v>0</v>
      </c>
      <c r="D66" s="62">
        <f>Zusatzeingaben!D198</f>
        <v>0</v>
      </c>
      <c r="E66" s="62">
        <f>Zusatzeingaben!E198</f>
        <v>0</v>
      </c>
      <c r="F66" s="62">
        <f>Zusatzeingaben!F198</f>
        <v>0</v>
      </c>
      <c r="G66" s="62">
        <f>Zusatzeingaben!G198</f>
        <v>0</v>
      </c>
      <c r="H66" s="62">
        <f>Zusatzeingaben!H198</f>
        <v>0</v>
      </c>
      <c r="I66" s="110">
        <f>Zusatzeingaben!I198</f>
        <v>0</v>
      </c>
    </row>
    <row r="67" spans="1:9" hidden="1">
      <c r="A67" s="408"/>
      <c r="B67" s="284">
        <f t="shared" si="4"/>
        <v>0</v>
      </c>
      <c r="C67" s="62"/>
      <c r="D67" s="62"/>
      <c r="E67" s="62"/>
      <c r="F67" s="62"/>
      <c r="G67" s="62"/>
      <c r="H67" s="62"/>
      <c r="I67" s="110"/>
    </row>
    <row r="68" spans="1:9" ht="16.5" customHeight="1" thickBot="1">
      <c r="A68" s="413">
        <f>IF(B68&gt;0,Zusatzeingaben!A199,0)</f>
        <v>0</v>
      </c>
      <c r="B68" s="285">
        <f t="shared" si="4"/>
        <v>0</v>
      </c>
      <c r="C68" s="286">
        <f>Zusatzeingaben!C199</f>
        <v>0</v>
      </c>
      <c r="D68" s="286">
        <f>Zusatzeingaben!D199</f>
        <v>0</v>
      </c>
      <c r="E68" s="286">
        <f>Zusatzeingaben!E199</f>
        <v>0</v>
      </c>
      <c r="F68" s="286">
        <f>Zusatzeingaben!F199</f>
        <v>0</v>
      </c>
      <c r="G68" s="286">
        <f>Zusatzeingaben!G199</f>
        <v>0</v>
      </c>
      <c r="H68" s="286">
        <f>Zusatzeingaben!H199</f>
        <v>0</v>
      </c>
      <c r="I68" s="287">
        <f>Zusatzeingaben!I199</f>
        <v>0</v>
      </c>
    </row>
    <row r="69" spans="1:9" ht="18" hidden="1" thickTop="1" thickBot="1">
      <c r="A69" s="262"/>
      <c r="B69" s="288"/>
      <c r="C69" s="132">
        <f>SUM(C60:C68)</f>
        <v>0</v>
      </c>
      <c r="D69" s="132">
        <f t="shared" ref="D69:I69" si="5">SUM(D60:D68)</f>
        <v>0</v>
      </c>
      <c r="E69" s="132">
        <f t="shared" si="5"/>
        <v>0</v>
      </c>
      <c r="F69" s="132">
        <f t="shared" si="5"/>
        <v>0</v>
      </c>
      <c r="G69" s="132">
        <f t="shared" si="5"/>
        <v>0</v>
      </c>
      <c r="H69" s="132">
        <f t="shared" si="5"/>
        <v>0</v>
      </c>
      <c r="I69" s="133">
        <f t="shared" si="5"/>
        <v>0</v>
      </c>
    </row>
    <row r="70" spans="1:9" ht="18" thickTop="1" thickBot="1">
      <c r="A70" s="242" t="s">
        <v>26</v>
      </c>
      <c r="B70" s="289">
        <f t="shared" si="4"/>
        <v>0</v>
      </c>
      <c r="C70" s="290">
        <f t="shared" ref="C70:I70" si="6">SUM(C55:C68)</f>
        <v>0</v>
      </c>
      <c r="D70" s="290">
        <f t="shared" si="6"/>
        <v>0</v>
      </c>
      <c r="E70" s="290">
        <f t="shared" si="6"/>
        <v>0</v>
      </c>
      <c r="F70" s="290">
        <f t="shared" si="6"/>
        <v>0</v>
      </c>
      <c r="G70" s="290">
        <f t="shared" si="6"/>
        <v>0</v>
      </c>
      <c r="H70" s="290">
        <f t="shared" si="6"/>
        <v>0</v>
      </c>
      <c r="I70" s="291">
        <f t="shared" si="6"/>
        <v>0</v>
      </c>
    </row>
    <row r="71" spans="1:9" ht="16.5" hidden="1" customHeight="1">
      <c r="A71" s="411"/>
      <c r="B71" s="62"/>
      <c r="C71" s="128">
        <f>IF(AND(Zusatzeingaben!C161&gt;0,Zusatzeingaben!C164=Zusatzeingaben!C161),0,Zusatzeingaben!C203)</f>
        <v>0</v>
      </c>
      <c r="D71" s="128">
        <f>IF(AND(Zusatzeingaben!D161&gt;0,Zusatzeingaben!D164=Zusatzeingaben!D161),0,Zusatzeingaben!D203)</f>
        <v>0</v>
      </c>
      <c r="E71" s="128">
        <f>IF(AND(Zusatzeingaben!E161&gt;0,Zusatzeingaben!E164=Zusatzeingaben!E161),0,Zusatzeingaben!E203)</f>
        <v>0</v>
      </c>
      <c r="F71" s="128">
        <f>IF(AND(Zusatzeingaben!F161&gt;0,Zusatzeingaben!F164=Zusatzeingaben!F161),0,Zusatzeingaben!F203)</f>
        <v>0</v>
      </c>
      <c r="G71" s="128">
        <f>IF(AND(Zusatzeingaben!G161&gt;0,Zusatzeingaben!G164=Zusatzeingaben!G161),0,Zusatzeingaben!G203)</f>
        <v>0</v>
      </c>
      <c r="H71" s="128">
        <f>IF(AND(Zusatzeingaben!H161&gt;0,Zusatzeingaben!H164=Zusatzeingaben!H161),0,Zusatzeingaben!H203)</f>
        <v>0</v>
      </c>
      <c r="I71" s="190">
        <f>IF(AND(Zusatzeingaben!I161&gt;0,Zusatzeingaben!I164=Zusatzeingaben!I161),0,Zusatzeingaben!I203)</f>
        <v>0</v>
      </c>
    </row>
    <row r="72" spans="1:9" ht="16.5" hidden="1" customHeight="1">
      <c r="A72" s="411"/>
      <c r="B72" s="62"/>
      <c r="C72" s="128">
        <f>IF(AND(Zusatzeingaben!C215&gt;C113,C78&lt;0),C71+C78,C71)</f>
        <v>0</v>
      </c>
      <c r="D72" s="128">
        <f>IF(AND(Zusatzeingaben!D215&gt;D113,D78&lt;0),D71+D78,D71)</f>
        <v>0</v>
      </c>
      <c r="E72" s="128">
        <f>IF(AND(Zusatzeingaben!E215&gt;E113,E78&lt;0),E71+E78,E71)</f>
        <v>0</v>
      </c>
      <c r="F72" s="128">
        <f>IF(AND(Zusatzeingaben!F215&gt;F113,F78&lt;0),F71+F78,F71)</f>
        <v>0</v>
      </c>
      <c r="G72" s="128">
        <f>IF(AND(Zusatzeingaben!G215&gt;G113,G78&lt;0),G71+G78,G71)</f>
        <v>0</v>
      </c>
      <c r="H72" s="128">
        <f>IF(AND(Zusatzeingaben!H215&gt;H113,H78&lt;0),H71+H78,H71)</f>
        <v>0</v>
      </c>
      <c r="I72" s="190">
        <f>IF(AND(Zusatzeingaben!I215&gt;I113,I78&lt;0),I71+I78,I71)</f>
        <v>0</v>
      </c>
    </row>
    <row r="73" spans="1:9" ht="16.5" hidden="1" customHeight="1">
      <c r="A73" s="411"/>
      <c r="B73" s="62"/>
      <c r="C73" s="128">
        <f>IF(AND(C113&gt;0,Zusatzeingaben!C215&lt;C113),0,C72)</f>
        <v>0</v>
      </c>
      <c r="D73" s="128">
        <f>IF(AND(D113&gt;0,Zusatzeingaben!D215&lt;D113),0,D72)</f>
        <v>0</v>
      </c>
      <c r="E73" s="128">
        <f>IF(AND(E113&gt;0,Zusatzeingaben!E215&lt;E113),0,E72)</f>
        <v>0</v>
      </c>
      <c r="F73" s="128">
        <f>IF(AND(F113&gt;0,Zusatzeingaben!F215&lt;F113),0,F72)</f>
        <v>0</v>
      </c>
      <c r="G73" s="128">
        <f>IF(AND(G113&gt;0,Zusatzeingaben!G215&lt;G113),0,G72)</f>
        <v>0</v>
      </c>
      <c r="H73" s="128">
        <f>IF(AND(H113&gt;0,Zusatzeingaben!H215&lt;H113),0,H72)</f>
        <v>0</v>
      </c>
      <c r="I73" s="190">
        <f>IF(AND(I113&gt;0,Zusatzeingaben!I215&lt;I113),0,I72)</f>
        <v>0</v>
      </c>
    </row>
    <row r="74" spans="1:9" ht="16.5" hidden="1" customHeight="1">
      <c r="A74" s="411"/>
      <c r="B74" s="62"/>
      <c r="C74" s="128">
        <f>IF(C113=0,Zusatzeingaben!C203,0)</f>
        <v>0</v>
      </c>
      <c r="D74" s="128">
        <f>IF(D113=0,Zusatzeingaben!D203,0)</f>
        <v>0</v>
      </c>
      <c r="E74" s="128">
        <f>IF(E113=0,Zusatzeingaben!E203,0)</f>
        <v>0</v>
      </c>
      <c r="F74" s="128">
        <f>IF(F113=0,Zusatzeingaben!F203,0)</f>
        <v>0</v>
      </c>
      <c r="G74" s="128">
        <f>IF(G113=0,Zusatzeingaben!G203,0)</f>
        <v>0</v>
      </c>
      <c r="H74" s="128">
        <f>IF(H113=0,Zusatzeingaben!H203,0)</f>
        <v>0</v>
      </c>
      <c r="I74" s="190">
        <f>IF(I113=0,Zusatzeingaben!I203,0)</f>
        <v>0</v>
      </c>
    </row>
    <row r="75" spans="1:9" ht="16.5" hidden="1" customHeight="1">
      <c r="A75" s="411"/>
      <c r="B75" s="298"/>
      <c r="C75" s="132">
        <f>IF(C74=30,C74,C73)</f>
        <v>0</v>
      </c>
      <c r="D75" s="132">
        <f t="shared" ref="D75:I75" si="7">IF(D74=30,D74,D73)</f>
        <v>0</v>
      </c>
      <c r="E75" s="132">
        <f t="shared" si="7"/>
        <v>0</v>
      </c>
      <c r="F75" s="132">
        <f t="shared" si="7"/>
        <v>0</v>
      </c>
      <c r="G75" s="132">
        <f t="shared" si="7"/>
        <v>0</v>
      </c>
      <c r="H75" s="132">
        <f t="shared" si="7"/>
        <v>0</v>
      </c>
      <c r="I75" s="133">
        <f t="shared" si="7"/>
        <v>0</v>
      </c>
    </row>
    <row r="76" spans="1:9">
      <c r="A76" s="414">
        <f>IF(B76&gt;0,"./. Versicherungspauschale",0)</f>
        <v>0</v>
      </c>
      <c r="B76" s="292">
        <f>SUM(C76:I76)</f>
        <v>0</v>
      </c>
      <c r="C76" s="715">
        <f>IF(C70=0,0,IF(C75&lt;0,0,IF(AND(C114&gt;0,C54&lt;=400),0,IF(AND(C114&gt;0,Zusatzeingaben!C141=0),0,IF(AND(C61&gt;0,C120=Zusatzeingaben!C189,Zusatzeingaben!C189&gt;0),0,C75)))))</f>
        <v>0</v>
      </c>
      <c r="D76" s="715">
        <f>IF(D70=0,0,IF(D75&lt;0,0,IF(AND(D114&gt;0,D54&lt;=400),0,IF(AND(D114&gt;0,Zusatzeingaben!D141=0),0,IF(AND(D61&gt;0,D120=Zusatzeingaben!D189,Zusatzeingaben!D189&gt;0),0,D75)))))</f>
        <v>0</v>
      </c>
      <c r="E76" s="715">
        <f>IF(E70=0,0,IF(E75&lt;0,0,IF(AND(E114&gt;0,E54&lt;=400),0,IF(AND(E114&gt;0,Zusatzeingaben!E141=0),0,IF(AND(E61&gt;0,E120=Zusatzeingaben!E189,Zusatzeingaben!E189&gt;0),0,E75)))))</f>
        <v>0</v>
      </c>
      <c r="F76" s="715">
        <f>IF(F70=0,0,IF(F75&lt;0,0,IF(AND(F114&gt;0,F54&lt;=400),0,IF(AND(F114&gt;0,Zusatzeingaben!F141=0),0,IF(AND(F61&gt;0,F120=Zusatzeingaben!F189,Zusatzeingaben!F189&gt;0),0,F75)))))</f>
        <v>0</v>
      </c>
      <c r="G76" s="715">
        <f>IF(G70=0,0,IF(G75&lt;0,0,IF(AND(G114&gt;0,G54&lt;=400),0,IF(AND(G114&gt;0,Zusatzeingaben!G141=0),0,IF(AND(G61&gt;0,G120=Zusatzeingaben!G189,Zusatzeingaben!G189&gt;0),0,G75)))))</f>
        <v>0</v>
      </c>
      <c r="H76" s="715">
        <f>IF(H70=0,0,IF(H75&lt;0,0,IF(AND(H114&gt;0,H54&lt;=400),0,IF(AND(H114&gt;0,Zusatzeingaben!H141=0),0,IF(AND(H61&gt;0,H120=Zusatzeingaben!H189,Zusatzeingaben!H189&gt;0),0,H75)))))</f>
        <v>0</v>
      </c>
      <c r="I76" s="716">
        <f>IF(I70=0,0,IF(I75&lt;0,0,IF(AND(I114&gt;0,I54&lt;=400),0,IF(AND(I114&gt;0,Zusatzeingaben!I141=0),0,IF(AND(I61&gt;0,I120=Zusatzeingaben!I189,Zusatzeingaben!I189&gt;0),0,I75)))))</f>
        <v>0</v>
      </c>
    </row>
    <row r="77" spans="1:9" hidden="1">
      <c r="A77" s="411"/>
      <c r="B77" s="62"/>
      <c r="C77" s="128">
        <f>IF(AND(Zusatzeingaben!C161&gt;0,Zusatzeingaben!C164=Zusatzeingaben!C161),0,Zusatzeingaben!C204-Zusatzeingaben!C161)</f>
        <v>0</v>
      </c>
      <c r="D77" s="128">
        <f>IF(AND(Zusatzeingaben!D161&gt;0,Zusatzeingaben!D164=Zusatzeingaben!D161),0,Zusatzeingaben!D204-Zusatzeingaben!D161)</f>
        <v>0</v>
      </c>
      <c r="E77" s="128">
        <f>IF(AND(Zusatzeingaben!E161&gt;0,Zusatzeingaben!E164=Zusatzeingaben!E161),0,Zusatzeingaben!E204-Zusatzeingaben!E161)</f>
        <v>0</v>
      </c>
      <c r="F77" s="128">
        <f>IF(AND(Zusatzeingaben!F161&gt;0,Zusatzeingaben!F164=Zusatzeingaben!F161),0,Zusatzeingaben!F204-Zusatzeingaben!F161)</f>
        <v>0</v>
      </c>
      <c r="G77" s="128">
        <f>IF(AND(Zusatzeingaben!G161&gt;0,Zusatzeingaben!G164=Zusatzeingaben!G161),0,Zusatzeingaben!G204-Zusatzeingaben!G161)</f>
        <v>0</v>
      </c>
      <c r="H77" s="128">
        <f>IF(AND(Zusatzeingaben!H161&gt;0,Zusatzeingaben!H164=Zusatzeingaben!H161),0,Zusatzeingaben!H204-Zusatzeingaben!H161)</f>
        <v>0</v>
      </c>
      <c r="I77" s="190">
        <f>IF(AND(Zusatzeingaben!I161&gt;0,Zusatzeingaben!I164=Zusatzeingaben!I161),0,Zusatzeingaben!I204-Zusatzeingaben!I161)</f>
        <v>0</v>
      </c>
    </row>
    <row r="78" spans="1:9" hidden="1">
      <c r="A78" s="411"/>
      <c r="B78" s="62"/>
      <c r="C78" s="128">
        <f>IF(AND(C71&gt;0,C77&gt;Zusatzeingaben!C204),Zusatzeingaben!C204,C77)</f>
        <v>0</v>
      </c>
      <c r="D78" s="128">
        <f>IF(AND(D71&gt;0,D77&gt;Zusatzeingaben!D204),Zusatzeingaben!D204,D77)</f>
        <v>0</v>
      </c>
      <c r="E78" s="128">
        <f>IF(AND(E71&gt;0,E77&gt;Zusatzeingaben!E204),Zusatzeingaben!E204,E77)</f>
        <v>0</v>
      </c>
      <c r="F78" s="128">
        <f>IF(AND(F71&gt;0,F77&gt;Zusatzeingaben!F204),Zusatzeingaben!F204,F77)</f>
        <v>0</v>
      </c>
      <c r="G78" s="128">
        <f>IF(AND(G71&gt;0,G77&gt;Zusatzeingaben!G204),Zusatzeingaben!G204,G77)</f>
        <v>0</v>
      </c>
      <c r="H78" s="128">
        <f>IF(AND(H71&gt;0,H77&gt;Zusatzeingaben!H204),Zusatzeingaben!H204,H77)</f>
        <v>0</v>
      </c>
      <c r="I78" s="190">
        <f>IF(AND(I71&gt;0,I77&gt;Zusatzeingaben!I204),Zusatzeingaben!I204,I77)</f>
        <v>0</v>
      </c>
    </row>
    <row r="79" spans="1:9" hidden="1">
      <c r="A79" s="411"/>
      <c r="B79" s="62"/>
      <c r="C79" s="128">
        <f>IF(C113=0,Zusatzeingaben!C204,0)</f>
        <v>0</v>
      </c>
      <c r="D79" s="128">
        <f>IF(D113=0,Zusatzeingaben!D204,0)</f>
        <v>0</v>
      </c>
      <c r="E79" s="128">
        <f>IF(E113=0,Zusatzeingaben!E204,0)</f>
        <v>0</v>
      </c>
      <c r="F79" s="128">
        <f>IF(F113=0,Zusatzeingaben!F204,0)</f>
        <v>0</v>
      </c>
      <c r="G79" s="128">
        <f>IF(G113=0,Zusatzeingaben!G204,0)</f>
        <v>0</v>
      </c>
      <c r="H79" s="128">
        <f>IF(H113=0,Zusatzeingaben!H204,0)</f>
        <v>0</v>
      </c>
      <c r="I79" s="190">
        <f>IF(I113=0,Zusatzeingaben!I204,0)</f>
        <v>0</v>
      </c>
    </row>
    <row r="80" spans="1:9" hidden="1">
      <c r="A80" s="411"/>
      <c r="B80" s="62"/>
      <c r="C80" s="128">
        <f>IF(C79=Zusatzeingaben!C204,C79,C78)</f>
        <v>0</v>
      </c>
      <c r="D80" s="128">
        <f>IF(D79=Zusatzeingaben!D204,D79,D78)</f>
        <v>0</v>
      </c>
      <c r="E80" s="128">
        <f>IF(E79=Zusatzeingaben!E204,E79,E78)</f>
        <v>0</v>
      </c>
      <c r="F80" s="128">
        <f>IF(F79=Zusatzeingaben!F204,F79,F78)</f>
        <v>0</v>
      </c>
      <c r="G80" s="128">
        <f>IF(G79=Zusatzeingaben!G204,G79,G78)</f>
        <v>0</v>
      </c>
      <c r="H80" s="128">
        <f>IF(H79=Zusatzeingaben!H204,H79,H78)</f>
        <v>0</v>
      </c>
      <c r="I80" s="190">
        <f>IF(I79=Zusatzeingaben!I204,I79,I78)</f>
        <v>0</v>
      </c>
    </row>
    <row r="81" spans="1:11" hidden="1">
      <c r="A81" s="411"/>
      <c r="B81" s="62"/>
      <c r="C81" s="295">
        <f t="shared" ref="C81:I81" si="8">IF(OR(C80&lt;0,C70=0),0,C80)</f>
        <v>0</v>
      </c>
      <c r="D81" s="295">
        <f t="shared" si="8"/>
        <v>0</v>
      </c>
      <c r="E81" s="295">
        <f t="shared" si="8"/>
        <v>0</v>
      </c>
      <c r="F81" s="295">
        <f t="shared" si="8"/>
        <v>0</v>
      </c>
      <c r="G81" s="295">
        <f t="shared" si="8"/>
        <v>0</v>
      </c>
      <c r="H81" s="295">
        <f t="shared" si="8"/>
        <v>0</v>
      </c>
      <c r="I81" s="296">
        <f t="shared" si="8"/>
        <v>0</v>
      </c>
    </row>
    <row r="82" spans="1:11">
      <c r="A82" s="408">
        <f>IF(B82&gt;0,"./. Kfz-Haftpflichtversicherung",0)</f>
        <v>0</v>
      </c>
      <c r="B82" s="284">
        <f>SUM(C82:I82)</f>
        <v>0</v>
      </c>
      <c r="C82" s="295">
        <f>IF(AND(C114&gt;0,C54&lt;=400),0,IF(AND(C114&gt;0,Zusatzeingaben!C141=0),0,IF(AND(C120=Zusatzeingaben!C189,C61&gt;0,Zusatzeingaben!C189&gt;0),0,C81)))</f>
        <v>0</v>
      </c>
      <c r="D82" s="295">
        <f>IF(AND(D114&gt;0,D54&lt;=400),0,IF(AND(D114&gt;0,Zusatzeingaben!D141=0),0,IF(AND(D120=Zusatzeingaben!D189,D61&gt;0,Zusatzeingaben!D189&gt;0),0,D81)))</f>
        <v>0</v>
      </c>
      <c r="E82" s="295">
        <f>IF(AND(E114&gt;0,E54&lt;=400),0,IF(AND(E114&gt;0,Zusatzeingaben!E141=0),0,IF(AND(E120=Zusatzeingaben!E189,E61&gt;0,Zusatzeingaben!E189&gt;0),0,E81)))</f>
        <v>0</v>
      </c>
      <c r="F82" s="295">
        <f>IF(AND(F114&gt;0,F54&lt;=400),0,IF(AND(F114&gt;0,Zusatzeingaben!F141=0),0,IF(AND(F120=Zusatzeingaben!F189,F61&gt;0,Zusatzeingaben!F189&gt;0),0,F81)))</f>
        <v>0</v>
      </c>
      <c r="G82" s="295">
        <f>IF(AND(G114&gt;0,G54&lt;=400),0,IF(AND(G114&gt;0,Zusatzeingaben!G141=0),0,IF(AND(G120=Zusatzeingaben!G189,G61&gt;0,Zusatzeingaben!G189&gt;0),0,G81)))</f>
        <v>0</v>
      </c>
      <c r="H82" s="295">
        <f>IF(AND(H114&gt;0,H54&lt;=400),0,IF(AND(H114&gt;0,Zusatzeingaben!H141=0),0,IF(AND(H120=Zusatzeingaben!H189,H61&gt;0,Zusatzeingaben!H189&gt;0),0,H81)))</f>
        <v>0</v>
      </c>
      <c r="I82" s="296">
        <f>IF(AND(I114&gt;0,I54&lt;=400),0,IF(AND(I114&gt;0,Zusatzeingaben!I141=0),0,IF(AND(I120=Zusatzeingaben!I189,I61&gt;0,Zusatzeingaben!I189&gt;0),0,I81)))</f>
        <v>0</v>
      </c>
      <c r="K82" s="616"/>
    </row>
    <row r="83" spans="1:11" ht="18" hidden="1" customHeight="1">
      <c r="A83" s="411"/>
      <c r="B83" s="128"/>
      <c r="C83" s="128">
        <f>IF(AND(Zusatzeingaben!C161&gt;0,Zusatzeingaben!C164=Zusatzeingaben!C161),0,Zusatzeingaben!C205)</f>
        <v>0</v>
      </c>
      <c r="D83" s="128">
        <f>IF(AND(Zusatzeingaben!D161&gt;0,Zusatzeingaben!D164=Zusatzeingaben!D161),0,Zusatzeingaben!D205)</f>
        <v>0</v>
      </c>
      <c r="E83" s="128">
        <f>IF(AND(Zusatzeingaben!E161&gt;0,Zusatzeingaben!E164=Zusatzeingaben!E161),0,Zusatzeingaben!E205)</f>
        <v>0</v>
      </c>
      <c r="F83" s="128">
        <f>IF(AND(Zusatzeingaben!F161&gt;0,Zusatzeingaben!F164=Zusatzeingaben!F161),0,Zusatzeingaben!F205)</f>
        <v>0</v>
      </c>
      <c r="G83" s="128">
        <f>IF(AND(Zusatzeingaben!G161&gt;0,Zusatzeingaben!G164=Zusatzeingaben!G161),0,Zusatzeingaben!G205)</f>
        <v>0</v>
      </c>
      <c r="H83" s="128">
        <f>IF(AND(Zusatzeingaben!H161&gt;0,Zusatzeingaben!H164=Zusatzeingaben!H161),0,Zusatzeingaben!H205)</f>
        <v>0</v>
      </c>
      <c r="I83" s="190">
        <f>IF(AND(Zusatzeingaben!I161&gt;0,Zusatzeingaben!I164=Zusatzeingaben!I161),0,Zusatzeingaben!I205)</f>
        <v>0</v>
      </c>
      <c r="K83" s="616"/>
    </row>
    <row r="84" spans="1:11" ht="18" hidden="1" customHeight="1">
      <c r="A84" s="411"/>
      <c r="B84" s="128"/>
      <c r="C84" s="128">
        <f>IF(AND(Zusatzeingaben!C215&gt;C113,C78&lt;&gt;Zusatzeingaben!C204),C83,0)</f>
        <v>0</v>
      </c>
      <c r="D84" s="128">
        <f>IF(AND(Zusatzeingaben!D215&gt;D113,D78&lt;&gt;Zusatzeingaben!D204),D83,0)</f>
        <v>0</v>
      </c>
      <c r="E84" s="128">
        <f>IF(AND(Zusatzeingaben!E215&gt;E113,E78&lt;&gt;Zusatzeingaben!E204),E83,0)</f>
        <v>0</v>
      </c>
      <c r="F84" s="128">
        <f>IF(AND(Zusatzeingaben!F215&gt;F113,F78&lt;&gt;Zusatzeingaben!F204),F83,0)</f>
        <v>0</v>
      </c>
      <c r="G84" s="128">
        <f>IF(AND(Zusatzeingaben!G215&gt;G113,G78&lt;&gt;Zusatzeingaben!G204),G83,0)</f>
        <v>0</v>
      </c>
      <c r="H84" s="128">
        <f>IF(AND(Zusatzeingaben!H215&gt;H113,H78&lt;&gt;Zusatzeingaben!H204),H83,0)</f>
        <v>0</v>
      </c>
      <c r="I84" s="190">
        <f>IF(AND(Zusatzeingaben!I215&gt;I113,I78&lt;&gt;Zusatzeingaben!I204),I83,0)</f>
        <v>0</v>
      </c>
      <c r="K84" s="616"/>
    </row>
    <row r="85" spans="1:11" ht="18" hidden="1" customHeight="1">
      <c r="A85" s="411"/>
      <c r="B85" s="128"/>
      <c r="C85" s="128">
        <f>IF(C113=0,Zusatzeingaben!C205,0)</f>
        <v>0</v>
      </c>
      <c r="D85" s="128">
        <f>IF(D113=0,Zusatzeingaben!D205,0)</f>
        <v>0</v>
      </c>
      <c r="E85" s="128">
        <f>IF(E113=0,Zusatzeingaben!E205,0)</f>
        <v>0</v>
      </c>
      <c r="F85" s="128">
        <f>IF(F113=0,Zusatzeingaben!F205,0)</f>
        <v>0</v>
      </c>
      <c r="G85" s="128">
        <f>IF(G113=0,Zusatzeingaben!G205,0)</f>
        <v>0</v>
      </c>
      <c r="H85" s="128">
        <f>IF(H113=0,Zusatzeingaben!H205,0)</f>
        <v>0</v>
      </c>
      <c r="I85" s="190">
        <f>IF(I113=0,Zusatzeingaben!I205,0)</f>
        <v>0</v>
      </c>
      <c r="K85" s="616"/>
    </row>
    <row r="86" spans="1:11" ht="18" hidden="1" customHeight="1">
      <c r="A86" s="411"/>
      <c r="B86" s="128"/>
      <c r="C86" s="128">
        <f>IF(C85=Zusatzeingaben!C205,C85,C84)</f>
        <v>0</v>
      </c>
      <c r="D86" s="128">
        <f>IF(D85=Zusatzeingaben!D205,D85,D84)</f>
        <v>0</v>
      </c>
      <c r="E86" s="128">
        <f>IF(E85=Zusatzeingaben!E205,E85,E84)</f>
        <v>0</v>
      </c>
      <c r="F86" s="128">
        <f>IF(F85=Zusatzeingaben!F205,F85,F84)</f>
        <v>0</v>
      </c>
      <c r="G86" s="128">
        <f>IF(G85=Zusatzeingaben!G205,G85,G84)</f>
        <v>0</v>
      </c>
      <c r="H86" s="128">
        <f>IF(H85=Zusatzeingaben!H205,H85,H84)</f>
        <v>0</v>
      </c>
      <c r="I86" s="190">
        <f>IF(I85=Zusatzeingaben!I205,I85,I84)</f>
        <v>0</v>
      </c>
    </row>
    <row r="87" spans="1:11" ht="18" customHeight="1">
      <c r="A87" s="408">
        <f>IF(B87&gt;0,"./. Beiträge für Krankheit/Alter/ZVK",0)</f>
        <v>0</v>
      </c>
      <c r="B87" s="297">
        <f>SUM(C87:I87)</f>
        <v>0</v>
      </c>
      <c r="C87" s="295">
        <f>IF(C70=0,0,IF(AND(C114&gt;0,C54&lt;=400),0,IF(AND(C114&gt;0,Zusatzeingaben!C141=0),0,IF(AND(C120=Zusatzeingaben!C189,C61&gt;0,Zusatzeingaben!C189&gt;0),0,C86))))</f>
        <v>0</v>
      </c>
      <c r="D87" s="295">
        <f>IF(D70=0,0,IF(AND(D114&gt;0,D54&lt;=400),0,IF(AND(D114&gt;0,Zusatzeingaben!D141=0),0,IF(AND(D120=Zusatzeingaben!D189,D61&gt;0,Zusatzeingaben!D189&gt;0),0,D86))))</f>
        <v>0</v>
      </c>
      <c r="E87" s="295">
        <f>IF(E70=0,0,IF(AND(E114&gt;0,E54&lt;=400),0,IF(AND(E114&gt;0,Zusatzeingaben!E141=0),0,IF(AND(E120=Zusatzeingaben!E189,E61&gt;0,Zusatzeingaben!E189&gt;0),0,E86))))</f>
        <v>0</v>
      </c>
      <c r="F87" s="295">
        <f>IF(F70=0,0,IF(AND(F114&gt;0,F54&lt;=400),0,IF(AND(F114&gt;0,Zusatzeingaben!F141=0),0,IF(AND(F120=Zusatzeingaben!F189,F61&gt;0,Zusatzeingaben!F189&gt;0),0,F86))))</f>
        <v>0</v>
      </c>
      <c r="G87" s="295">
        <f>IF(G70=0,0,IF(AND(G114&gt;0,G54&lt;=400),0,IF(AND(G114&gt;0,Zusatzeingaben!G141=0),0,IF(AND(G120=Zusatzeingaben!G189,G61&gt;0,Zusatzeingaben!G189&gt;0),0,G86))))</f>
        <v>0</v>
      </c>
      <c r="H87" s="295">
        <f>IF(H70=0,0,IF(AND(H114&gt;0,H54&lt;=400),0,IF(AND(H114&gt;0,Zusatzeingaben!H141=0),0,IF(AND(H120=Zusatzeingaben!H189,H61&gt;0,Zusatzeingaben!H189&gt;0),0,H86))))</f>
        <v>0</v>
      </c>
      <c r="I87" s="296">
        <f>IF(I70=0,0,IF(AND(I114&gt;0,I54&lt;=400),0,IF(AND(I114&gt;0,Zusatzeingaben!I141=0),0,IF(AND(I120=Zusatzeingaben!I189,I61&gt;0,Zusatzeingaben!I189&gt;0),0,I86))))</f>
        <v>0</v>
      </c>
    </row>
    <row r="88" spans="1:11" ht="16.5" hidden="1" customHeight="1">
      <c r="A88" s="411"/>
      <c r="B88" s="128"/>
      <c r="C88" s="128">
        <f>IF(AND(Zusatzeingaben!C161&gt;0,Zusatzeingaben!C164=Zusatzeingaben!C161),0,Zusatzeingaben!C213)</f>
        <v>0</v>
      </c>
      <c r="D88" s="128">
        <f>IF(AND(Zusatzeingaben!D161&gt;0,Zusatzeingaben!D164=Zusatzeingaben!D161),0,Zusatzeingaben!D213)</f>
        <v>0</v>
      </c>
      <c r="E88" s="128">
        <f>IF(AND(Zusatzeingaben!E161&gt;0,Zusatzeingaben!E164=Zusatzeingaben!E161),0,Zusatzeingaben!E213)</f>
        <v>0</v>
      </c>
      <c r="F88" s="128">
        <f>IF(AND(Zusatzeingaben!F161&gt;0,Zusatzeingaben!F164=Zusatzeingaben!F161),0,Zusatzeingaben!F213)</f>
        <v>0</v>
      </c>
      <c r="G88" s="128">
        <f>IF(AND(Zusatzeingaben!G161&gt;0,Zusatzeingaben!G164=Zusatzeingaben!G161),0,Zusatzeingaben!G213)</f>
        <v>0</v>
      </c>
      <c r="H88" s="128">
        <f>IF(AND(Zusatzeingaben!H161&gt;0,Zusatzeingaben!H164=Zusatzeingaben!H161),0,Zusatzeingaben!H213)</f>
        <v>0</v>
      </c>
      <c r="I88" s="190">
        <f>IF(AND(Zusatzeingaben!I161&gt;0,Zusatzeingaben!I164=Zusatzeingaben!I161),0,Zusatzeingaben!I213)</f>
        <v>0</v>
      </c>
    </row>
    <row r="89" spans="1:11" ht="16.5" hidden="1" customHeight="1">
      <c r="A89" s="411"/>
      <c r="B89" s="128"/>
      <c r="C89" s="128">
        <f>IF(AND(Zusatzeingaben!C215&gt;C113,C78&lt;&gt;Zusatzeingaben!C204),C88,0)</f>
        <v>0</v>
      </c>
      <c r="D89" s="128">
        <f>IF(AND(Zusatzeingaben!D215&gt;D113,D78&lt;&gt;Zusatzeingaben!D204),D88,0)</f>
        <v>0</v>
      </c>
      <c r="E89" s="128">
        <f>IF(AND(Zusatzeingaben!E215&gt;E113,E78&lt;&gt;Zusatzeingaben!E204),E88,0)</f>
        <v>0</v>
      </c>
      <c r="F89" s="128">
        <f>IF(AND(Zusatzeingaben!F215&gt;F113,F78&lt;&gt;Zusatzeingaben!F204),F88,0)</f>
        <v>0</v>
      </c>
      <c r="G89" s="128">
        <f>IF(AND(Zusatzeingaben!G215&gt;G113,G78&lt;&gt;Zusatzeingaben!G204),G88,0)</f>
        <v>0</v>
      </c>
      <c r="H89" s="128">
        <f>IF(AND(Zusatzeingaben!H215&gt;H113,H78&lt;&gt;Zusatzeingaben!H204),H88,0)</f>
        <v>0</v>
      </c>
      <c r="I89" s="190">
        <f>IF(AND(Zusatzeingaben!I215&gt;I113,I78&lt;&gt;Zusatzeingaben!I204),I88,0)</f>
        <v>0</v>
      </c>
    </row>
    <row r="90" spans="1:11" ht="16.5" hidden="1" customHeight="1">
      <c r="A90" s="411"/>
      <c r="B90" s="128"/>
      <c r="C90" s="128">
        <f>IF(C113=0,Zusatzeingaben!C213,0)</f>
        <v>0</v>
      </c>
      <c r="D90" s="128">
        <f>IF(D113=0,Zusatzeingaben!D213,0)</f>
        <v>0</v>
      </c>
      <c r="E90" s="128">
        <f>IF(E113=0,Zusatzeingaben!E213,0)</f>
        <v>0</v>
      </c>
      <c r="F90" s="128">
        <f>IF(F113=0,Zusatzeingaben!F213,0)</f>
        <v>0</v>
      </c>
      <c r="G90" s="128">
        <f>IF(G113=0,Zusatzeingaben!G213,0)</f>
        <v>0</v>
      </c>
      <c r="H90" s="128">
        <f>IF(H113=0,Zusatzeingaben!H213,0)</f>
        <v>0</v>
      </c>
      <c r="I90" s="190">
        <f>IF(I113=0,Zusatzeingaben!I213,0)</f>
        <v>0</v>
      </c>
    </row>
    <row r="91" spans="1:11" ht="16.5" hidden="1" customHeight="1">
      <c r="A91" s="411"/>
      <c r="B91" s="128"/>
      <c r="C91" s="128">
        <f>IF(C90=Zusatzeingaben!C213,C90,C89)</f>
        <v>0</v>
      </c>
      <c r="D91" s="128">
        <f>IF(D90=Zusatzeingaben!D213,D90,D89)</f>
        <v>0</v>
      </c>
      <c r="E91" s="128">
        <f>IF(E90=Zusatzeingaben!E213,E90,E89)</f>
        <v>0</v>
      </c>
      <c r="F91" s="128">
        <f>IF(F90=Zusatzeingaben!F213,F90,F89)</f>
        <v>0</v>
      </c>
      <c r="G91" s="128">
        <f>IF(G90=Zusatzeingaben!G213,G90,G89)</f>
        <v>0</v>
      </c>
      <c r="H91" s="128">
        <f>IF(H90=Zusatzeingaben!H213,H90,H89)</f>
        <v>0</v>
      </c>
      <c r="I91" s="190">
        <f>IF(I90=Zusatzeingaben!I213,I90,I89)</f>
        <v>0</v>
      </c>
    </row>
    <row r="92" spans="1:11">
      <c r="A92" s="408">
        <f>IF(B92&gt;0,"./. Beiträge Riester-Rente",0)</f>
        <v>0</v>
      </c>
      <c r="B92" s="297">
        <f>SUM(C92:I92)</f>
        <v>0</v>
      </c>
      <c r="C92" s="295">
        <f>IF(C70=0,0,IF(AND(C114&gt;0,C54&lt;=400),0,IF(AND(C114&gt;0,Zusatzeingaben!C141=0),0,IF(AND(C120=Zusatzeingaben!C189,C61&gt;0,Zusatzeingaben!C189&gt;0),0,C91))))</f>
        <v>0</v>
      </c>
      <c r="D92" s="295">
        <f>IF(D70=0,0,IF(AND(D114&gt;0,D54&lt;=400),0,IF(AND(D114&gt;0,Zusatzeingaben!D141=0),0,IF(AND(D120=Zusatzeingaben!D189,D61&gt;0,Zusatzeingaben!D189&gt;0),0,D91))))</f>
        <v>0</v>
      </c>
      <c r="E92" s="295">
        <f>IF(E70=0,0,IF(AND(E114&gt;0,E54&lt;=400),0,IF(AND(E114&gt;0,Zusatzeingaben!E141=0),0,IF(AND(E120=Zusatzeingaben!E189,E61&gt;0,Zusatzeingaben!E189&gt;0),0,E91))))</f>
        <v>0</v>
      </c>
      <c r="F92" s="295">
        <f>IF(F70=0,0,IF(AND(F114&gt;0,F54&lt;=400),0,IF(AND(F114&gt;0,Zusatzeingaben!F141=0),0,IF(AND(F120=Zusatzeingaben!F189,F61&gt;0,Zusatzeingaben!F189&gt;0),0,F91))))</f>
        <v>0</v>
      </c>
      <c r="G92" s="295">
        <f>IF(G70=0,0,IF(AND(G114&gt;0,G54&lt;=400),0,IF(AND(G114&gt;0,Zusatzeingaben!G141=0),0,IF(AND(G120=Zusatzeingaben!G189,G61&gt;0,Zusatzeingaben!G189&gt;0),0,G91))))</f>
        <v>0</v>
      </c>
      <c r="H92" s="295">
        <f>IF(H70=0,0,IF(AND(H114&gt;0,H54&lt;=400),0,IF(AND(H114&gt;0,Zusatzeingaben!H141=0),0,IF(AND(H120=Zusatzeingaben!H189,H61&gt;0,Zusatzeingaben!H189&gt;0),0,H91))))</f>
        <v>0</v>
      </c>
      <c r="I92" s="296">
        <f>IF(I70=0,0,IF(AND(I114&gt;0,I54&lt;=400),0,IF(AND(I114&gt;0,Zusatzeingaben!I141=0),0,IF(AND(I120=Zusatzeingaben!I189,I61&gt;0,Zusatzeingaben!I189&gt;0),0,I91))))</f>
        <v>0</v>
      </c>
    </row>
    <row r="93" spans="1:11" hidden="1">
      <c r="A93" s="408"/>
      <c r="B93" s="128"/>
      <c r="C93" s="128">
        <f>IF(AND(Zusatzeingaben!C161&gt;0,Zusatzeingaben!C164=Zusatzeingaben!C161),0,Zusatzeingaben!C127)</f>
        <v>0</v>
      </c>
      <c r="D93" s="128">
        <f>IF(AND(Zusatzeingaben!D161&gt;0,Zusatzeingaben!D164=Zusatzeingaben!D161),0,Zusatzeingaben!D127)</f>
        <v>0</v>
      </c>
      <c r="E93" s="128">
        <f>IF(AND(Zusatzeingaben!E161&gt;0,Zusatzeingaben!E164=Zusatzeingaben!E161),0,Zusatzeingaben!E127)</f>
        <v>0</v>
      </c>
      <c r="F93" s="128">
        <f>IF(AND(Zusatzeingaben!F161&gt;0,Zusatzeingaben!F164=Zusatzeingaben!F161),0,Zusatzeingaben!F127)</f>
        <v>0</v>
      </c>
      <c r="G93" s="128">
        <f>IF(AND(Zusatzeingaben!G161&gt;0,Zusatzeingaben!G164=Zusatzeingaben!G161),0,Zusatzeingaben!G127)</f>
        <v>0</v>
      </c>
      <c r="H93" s="128">
        <f>IF(AND(Zusatzeingaben!H161&gt;0,Zusatzeingaben!H164=Zusatzeingaben!H161),0,Zusatzeingaben!H127)</f>
        <v>0</v>
      </c>
      <c r="I93" s="190">
        <f>IF(AND(Zusatzeingaben!I161&gt;0,Zusatzeingaben!I164=Zusatzeingaben!I161),0,Zusatzeingaben!I127)</f>
        <v>0</v>
      </c>
    </row>
    <row r="94" spans="1:11" hidden="1">
      <c r="A94" s="613"/>
      <c r="B94" s="128"/>
      <c r="C94" s="128">
        <f>IF(AND(Zusatzeingaben!C215&gt;C113,C78&lt;&gt;Zusatzeingaben!C127),C93,0)</f>
        <v>0</v>
      </c>
      <c r="D94" s="128">
        <f>IF(AND(Zusatzeingaben!D215&gt;D113,D78&lt;&gt;Zusatzeingaben!D127),D93,0)</f>
        <v>0</v>
      </c>
      <c r="E94" s="128">
        <f>IF(AND(Zusatzeingaben!E215&gt;E113,E78&lt;&gt;Zusatzeingaben!E127),E93,0)</f>
        <v>0</v>
      </c>
      <c r="F94" s="128">
        <f>IF(AND(Zusatzeingaben!F215&gt;F113,F78&lt;&gt;Zusatzeingaben!F127),F93,0)</f>
        <v>0</v>
      </c>
      <c r="G94" s="128">
        <f>IF(AND(Zusatzeingaben!G215&gt;G113,G78&lt;&gt;Zusatzeingaben!G127),G93,0)</f>
        <v>0</v>
      </c>
      <c r="H94" s="128">
        <f>IF(AND(Zusatzeingaben!H215&gt;H113,H78&lt;&gt;Zusatzeingaben!H127),H93,0)</f>
        <v>0</v>
      </c>
      <c r="I94" s="190">
        <f>IF(AND(Zusatzeingaben!I215&gt;I113,I78&lt;&gt;Zusatzeingaben!I127),I93,0)</f>
        <v>0</v>
      </c>
    </row>
    <row r="95" spans="1:11" hidden="1">
      <c r="A95" s="408"/>
      <c r="B95" s="128"/>
      <c r="C95" s="128">
        <f>IF(C113=0,Zusatzeingaben!C127,0)</f>
        <v>0</v>
      </c>
      <c r="D95" s="128">
        <f>IF(D113=0,Zusatzeingaben!D127,0)</f>
        <v>0</v>
      </c>
      <c r="E95" s="128">
        <f>IF(E113=0,Zusatzeingaben!E127,0)</f>
        <v>0</v>
      </c>
      <c r="F95" s="128">
        <f>IF(F113=0,Zusatzeingaben!F127,0)</f>
        <v>0</v>
      </c>
      <c r="G95" s="128">
        <f>IF(G113=0,Zusatzeingaben!G127,0)</f>
        <v>0</v>
      </c>
      <c r="H95" s="128">
        <f>IF(H113=0,Zusatzeingaben!H127,0)</f>
        <v>0</v>
      </c>
      <c r="I95" s="190">
        <f>IF(I113=0,Zusatzeingaben!I127,0)</f>
        <v>0</v>
      </c>
    </row>
    <row r="96" spans="1:11" hidden="1">
      <c r="A96" s="408"/>
      <c r="B96" s="128"/>
      <c r="C96" s="128">
        <f>IF(C95=Zusatzeingaben!C127,C95,C94)</f>
        <v>0</v>
      </c>
      <c r="D96" s="128">
        <f>IF(D95=Zusatzeingaben!D127,D95,D94)</f>
        <v>0</v>
      </c>
      <c r="E96" s="128">
        <f>IF(E95=Zusatzeingaben!E127,E95,E94)</f>
        <v>0</v>
      </c>
      <c r="F96" s="128">
        <f>IF(F95=Zusatzeingaben!F127,F95,F94)</f>
        <v>0</v>
      </c>
      <c r="G96" s="128">
        <f>IF(G95=Zusatzeingaben!G127,G95,G94)</f>
        <v>0</v>
      </c>
      <c r="H96" s="128">
        <f>IF(H95=Zusatzeingaben!H127,H95,H94)</f>
        <v>0</v>
      </c>
      <c r="I96" s="190">
        <f>IF(I95=Zusatzeingaben!I127,I95,I94)</f>
        <v>0</v>
      </c>
    </row>
    <row r="97" spans="1:9" hidden="1">
      <c r="A97" s="613"/>
      <c r="B97" s="128"/>
      <c r="C97" s="128">
        <f>IF(Zusatzeingaben!C140=0,0,C96)</f>
        <v>0</v>
      </c>
      <c r="D97" s="128">
        <f>IF(Zusatzeingaben!D140=0,0,D96)</f>
        <v>0</v>
      </c>
      <c r="E97" s="128">
        <f>IF(Zusatzeingaben!E140=0,0,E96)</f>
        <v>0</v>
      </c>
      <c r="F97" s="128">
        <f>IF(Zusatzeingaben!F140=0,0,F96)</f>
        <v>0</v>
      </c>
      <c r="G97" s="128">
        <f>IF(Zusatzeingaben!G140=0,0,G96)</f>
        <v>0</v>
      </c>
      <c r="H97" s="128">
        <f>IF(Zusatzeingaben!H140=0,0,H96)</f>
        <v>0</v>
      </c>
      <c r="I97" s="190">
        <f>IF(Zusatzeingaben!I140=0,0,I96)</f>
        <v>0</v>
      </c>
    </row>
    <row r="98" spans="1:9">
      <c r="A98" s="408">
        <f>IF(B98&gt;0,"./. Fahrtkosten",0)</f>
        <v>0</v>
      </c>
      <c r="B98" s="284">
        <f>SUM(C98:I98)</f>
        <v>0</v>
      </c>
      <c r="C98" s="295">
        <f t="shared" ref="C98:I98" si="9">IF(AND(C114&gt;0,C54&lt;=400),0,IF(C75&lt;0,C97+C75,IF(C70=0,0,C97)))</f>
        <v>0</v>
      </c>
      <c r="D98" s="295">
        <f t="shared" si="9"/>
        <v>0</v>
      </c>
      <c r="E98" s="295">
        <f t="shared" si="9"/>
        <v>0</v>
      </c>
      <c r="F98" s="295">
        <f t="shared" si="9"/>
        <v>0</v>
      </c>
      <c r="G98" s="295">
        <f t="shared" si="9"/>
        <v>0</v>
      </c>
      <c r="H98" s="295">
        <f t="shared" si="9"/>
        <v>0</v>
      </c>
      <c r="I98" s="296">
        <f t="shared" si="9"/>
        <v>0</v>
      </c>
    </row>
    <row r="99" spans="1:9" hidden="1">
      <c r="A99" s="408"/>
      <c r="B99" s="62"/>
      <c r="C99" s="128">
        <f>IF(AND(Zusatzeingaben!C161&gt;0,Zusatzeingaben!C164=Zusatzeingaben!C161),0,Zusatzeingaben!C124)</f>
        <v>0</v>
      </c>
      <c r="D99" s="128">
        <f>IF(AND(Zusatzeingaben!D161&gt;0,Zusatzeingaben!D164=Zusatzeingaben!D161),0,Zusatzeingaben!D124)</f>
        <v>0</v>
      </c>
      <c r="E99" s="128">
        <f>IF(AND(Zusatzeingaben!E161&gt;0,Zusatzeingaben!E164=Zusatzeingaben!E161),0,Zusatzeingaben!E124)</f>
        <v>0</v>
      </c>
      <c r="F99" s="128">
        <f>IF(AND(Zusatzeingaben!F161&gt;0,Zusatzeingaben!F164=Zusatzeingaben!F161),0,Zusatzeingaben!F124)</f>
        <v>0</v>
      </c>
      <c r="G99" s="128">
        <f>IF(AND(Zusatzeingaben!G161&gt;0,Zusatzeingaben!G164=Zusatzeingaben!G161),0,Zusatzeingaben!G124)</f>
        <v>0</v>
      </c>
      <c r="H99" s="128">
        <f>IF(AND(Zusatzeingaben!H161&gt;0,Zusatzeingaben!H164=Zusatzeingaben!H161),0,Zusatzeingaben!H124)</f>
        <v>0</v>
      </c>
      <c r="I99" s="190">
        <f>IF(AND(Zusatzeingaben!I161&gt;0,Zusatzeingaben!I164=Zusatzeingaben!I161),0,Zusatzeingaben!I124)</f>
        <v>0</v>
      </c>
    </row>
    <row r="100" spans="1:9" hidden="1">
      <c r="A100" s="613"/>
      <c r="B100" s="62"/>
      <c r="C100" s="128">
        <f>IF(AND(Zusatzeingaben!C215&gt;C113,C78&lt;&gt;Zusatzeingaben!C124),C99,0)</f>
        <v>0</v>
      </c>
      <c r="D100" s="128">
        <f>IF(AND(Zusatzeingaben!D215&gt;D113,D78&lt;&gt;Zusatzeingaben!D124),D99,0)</f>
        <v>0</v>
      </c>
      <c r="E100" s="128">
        <f>IF(AND(Zusatzeingaben!E215&gt;E113,E78&lt;&gt;Zusatzeingaben!E124),E99,0)</f>
        <v>0</v>
      </c>
      <c r="F100" s="128">
        <f>IF(AND(Zusatzeingaben!F215&gt;F113,F78&lt;&gt;Zusatzeingaben!F124),F99,0)</f>
        <v>0</v>
      </c>
      <c r="G100" s="128">
        <f>IF(AND(Zusatzeingaben!G215&gt;G113,G78&lt;&gt;Zusatzeingaben!G124),G99,0)</f>
        <v>0</v>
      </c>
      <c r="H100" s="128">
        <f>IF(AND(Zusatzeingaben!H215&gt;H113,H78&lt;&gt;Zusatzeingaben!H124),H99,0)</f>
        <v>0</v>
      </c>
      <c r="I100" s="190">
        <f>IF(AND(Zusatzeingaben!I215&gt;I113,I78&lt;&gt;Zusatzeingaben!I124),I99,0)</f>
        <v>0</v>
      </c>
    </row>
    <row r="101" spans="1:9" hidden="1">
      <c r="A101" s="408"/>
      <c r="B101" s="62"/>
      <c r="C101" s="128">
        <f>IF(C113=0,Zusatzeingaben!C124,0)</f>
        <v>0</v>
      </c>
      <c r="D101" s="128">
        <f>IF(D113=0,Zusatzeingaben!D124,0)</f>
        <v>0</v>
      </c>
      <c r="E101" s="128">
        <f>IF(E113=0,Zusatzeingaben!E124,0)</f>
        <v>0</v>
      </c>
      <c r="F101" s="128">
        <f>IF(F113=0,Zusatzeingaben!F124,0)</f>
        <v>0</v>
      </c>
      <c r="G101" s="128">
        <f>IF(G113=0,Zusatzeingaben!G124,0)</f>
        <v>0</v>
      </c>
      <c r="H101" s="128">
        <f>IF(H113=0,Zusatzeingaben!H124,0)</f>
        <v>0</v>
      </c>
      <c r="I101" s="190">
        <f>IF(I113=0,Zusatzeingaben!I124,0)</f>
        <v>0</v>
      </c>
    </row>
    <row r="102" spans="1:9" hidden="1">
      <c r="A102" s="408"/>
      <c r="B102" s="62"/>
      <c r="C102" s="128">
        <f>IF(C101=Zusatzeingaben!C124,C101,C99)</f>
        <v>0</v>
      </c>
      <c r="D102" s="128">
        <f>IF(D101=Zusatzeingaben!D124,D101,D99)</f>
        <v>0</v>
      </c>
      <c r="E102" s="128">
        <f>IF(E101=Zusatzeingaben!E124,E101,E99)</f>
        <v>0</v>
      </c>
      <c r="F102" s="128">
        <f>IF(F101=Zusatzeingaben!F124,F101,F99)</f>
        <v>0</v>
      </c>
      <c r="G102" s="128">
        <f>IF(G101=Zusatzeingaben!G124,G101,G99)</f>
        <v>0</v>
      </c>
      <c r="H102" s="128">
        <f>IF(H101=Zusatzeingaben!H124,H101,H99)</f>
        <v>0</v>
      </c>
      <c r="I102" s="190">
        <f>IF(I101=Zusatzeingaben!I124,I101,I99)</f>
        <v>0</v>
      </c>
    </row>
    <row r="103" spans="1:9" hidden="1">
      <c r="A103" s="613"/>
      <c r="B103" s="62"/>
      <c r="C103" s="128">
        <f>IF(Zusatzeingaben!C140=0,0,C102)</f>
        <v>0</v>
      </c>
      <c r="D103" s="128">
        <f>IF(Zusatzeingaben!D140=0,0,D102)</f>
        <v>0</v>
      </c>
      <c r="E103" s="128">
        <f>IF(Zusatzeingaben!E140=0,0,E102)</f>
        <v>0</v>
      </c>
      <c r="F103" s="128">
        <f>IF(Zusatzeingaben!F140=0,0,F102)</f>
        <v>0</v>
      </c>
      <c r="G103" s="128">
        <f>IF(Zusatzeingaben!G140=0,0,G102)</f>
        <v>0</v>
      </c>
      <c r="H103" s="128">
        <f>IF(Zusatzeingaben!H140=0,0,H102)</f>
        <v>0</v>
      </c>
      <c r="I103" s="190">
        <f>IF(Zusatzeingaben!I140=0,0,I102)</f>
        <v>0</v>
      </c>
    </row>
    <row r="104" spans="1:9">
      <c r="A104" s="408">
        <f>IF(B104&gt;0,"./. Verpflegungsmehraufwand",0)</f>
        <v>0</v>
      </c>
      <c r="B104" s="284">
        <f>SUM(C104:I104)</f>
        <v>0</v>
      </c>
      <c r="C104" s="614">
        <f t="shared" ref="C104:I104" si="10">IF(AND(C114&gt;0,C54&lt;=400),0,IF(C70=0,0,C103))</f>
        <v>0</v>
      </c>
      <c r="D104" s="614">
        <f t="shared" si="10"/>
        <v>0</v>
      </c>
      <c r="E104" s="614">
        <f t="shared" si="10"/>
        <v>0</v>
      </c>
      <c r="F104" s="614">
        <f t="shared" si="10"/>
        <v>0</v>
      </c>
      <c r="G104" s="614">
        <f t="shared" si="10"/>
        <v>0</v>
      </c>
      <c r="H104" s="614">
        <f t="shared" si="10"/>
        <v>0</v>
      </c>
      <c r="I104" s="654">
        <f t="shared" si="10"/>
        <v>0</v>
      </c>
    </row>
    <row r="105" spans="1:9" hidden="1">
      <c r="A105" s="408"/>
      <c r="B105" s="62"/>
      <c r="C105" s="128">
        <f>IF(AND(Zusatzeingaben!C161&gt;0,Zusatzeingaben!C164=Zusatzeingaben!C161),0,Zusatzeingaben!C149)</f>
        <v>0</v>
      </c>
      <c r="D105" s="128">
        <f>IF(AND(Zusatzeingaben!D161&gt;0,Zusatzeingaben!D164=Zusatzeingaben!D161),0,Zusatzeingaben!D149)</f>
        <v>0</v>
      </c>
      <c r="E105" s="128">
        <f>IF(AND(Zusatzeingaben!E161&gt;0,Zusatzeingaben!E164=Zusatzeingaben!E161),0,Zusatzeingaben!E149)</f>
        <v>0</v>
      </c>
      <c r="F105" s="128">
        <f>IF(AND(Zusatzeingaben!F161&gt;0,Zusatzeingaben!F164=Zusatzeingaben!F161),0,Zusatzeingaben!F149)</f>
        <v>0</v>
      </c>
      <c r="G105" s="128">
        <f>IF(AND(Zusatzeingaben!G161&gt;0,Zusatzeingaben!G164=Zusatzeingaben!G161),0,Zusatzeingaben!G149)</f>
        <v>0</v>
      </c>
      <c r="H105" s="128">
        <f>IF(AND(Zusatzeingaben!H161&gt;0,Zusatzeingaben!H164=Zusatzeingaben!H161),0,Zusatzeingaben!H149)</f>
        <v>0</v>
      </c>
      <c r="I105" s="190">
        <f>IF(AND(Zusatzeingaben!I161&gt;0,Zusatzeingaben!I164=Zusatzeingaben!I161),0,Zusatzeingaben!I149)</f>
        <v>0</v>
      </c>
    </row>
    <row r="106" spans="1:9" hidden="1">
      <c r="A106" s="408"/>
      <c r="B106" s="62"/>
      <c r="C106" s="128">
        <f>IF(C113=0,Zusatzeingaben!C149,0)</f>
        <v>0</v>
      </c>
      <c r="D106" s="128">
        <f>IF(D113=0,Zusatzeingaben!D149,0)</f>
        <v>0</v>
      </c>
      <c r="E106" s="128">
        <f>IF(E113=0,Zusatzeingaben!E149,0)</f>
        <v>0</v>
      </c>
      <c r="F106" s="128">
        <f>IF(F113=0,Zusatzeingaben!F149,0)</f>
        <v>0</v>
      </c>
      <c r="G106" s="128">
        <f>IF(G113=0,Zusatzeingaben!G149,0)</f>
        <v>0</v>
      </c>
      <c r="H106" s="128">
        <f>IF(H113=0,Zusatzeingaben!H149,0)</f>
        <v>0</v>
      </c>
      <c r="I106" s="190">
        <f>IF(I113=0,Zusatzeingaben!I149,0)</f>
        <v>0</v>
      </c>
    </row>
    <row r="107" spans="1:9" hidden="1">
      <c r="A107" s="411"/>
      <c r="B107" s="62"/>
      <c r="C107" s="128">
        <f>IF(C106&gt;0,C106,C105)</f>
        <v>0</v>
      </c>
      <c r="D107" s="128">
        <f t="shared" ref="D107:I107" si="11">IF(D106&gt;0,D106,D105)</f>
        <v>0</v>
      </c>
      <c r="E107" s="128">
        <f t="shared" si="11"/>
        <v>0</v>
      </c>
      <c r="F107" s="128">
        <f t="shared" si="11"/>
        <v>0</v>
      </c>
      <c r="G107" s="128">
        <f t="shared" si="11"/>
        <v>0</v>
      </c>
      <c r="H107" s="128">
        <f t="shared" si="11"/>
        <v>0</v>
      </c>
      <c r="I107" s="190">
        <f t="shared" si="11"/>
        <v>0</v>
      </c>
    </row>
    <row r="108" spans="1:9">
      <c r="A108" s="409">
        <f>IF(B108&gt;0,"./. Werbungskosten bei Erwerbstätigkeit",0)</f>
        <v>0</v>
      </c>
      <c r="B108" s="284">
        <f>SUM(C108:I108)</f>
        <v>0</v>
      </c>
      <c r="C108" s="128">
        <f>IF(AND(C114&gt;0,C54&lt;=400),0,IF(AND(C58&gt;200,Zusatzeingaben!C159&gt;Zusatzeingaben!C157),Zusatzeingaben!C148,IF(AND($A$57="Gewinn aus selbständiger Tätigkeit",C57&gt;0),0,IF(AND(C54&lt;100,C58&lt;200,C69&gt;0),0,C107))))</f>
        <v>0</v>
      </c>
      <c r="D108" s="128">
        <f>IF(AND(D114&gt;0,D54&lt;=400),0,IF(AND(D58&gt;200,Zusatzeingaben!D159&gt;Zusatzeingaben!D157),Zusatzeingaben!D148,IF(AND($A$57="Gewinn aus selbständiger Tätigkeit",D57&gt;0),0,IF(AND(D54&lt;100,D58&lt;200,D69&gt;0),0,D107))))</f>
        <v>0</v>
      </c>
      <c r="E108" s="128">
        <f>IF(AND(E114&gt;0,E54&lt;=400),0,IF(AND(E58&gt;200,Zusatzeingaben!E159&gt;Zusatzeingaben!E157),Zusatzeingaben!E148,IF(AND($A$57="Gewinn aus selbständiger Tätigkeit",E57&gt;0),0,IF(AND(E54&lt;100,E58&lt;200,E69&gt;0),0,E107))))</f>
        <v>0</v>
      </c>
      <c r="F108" s="128">
        <f>IF(AND(F114&gt;0,F54&lt;=400),0,IF(AND(F58&gt;200,Zusatzeingaben!F159&gt;Zusatzeingaben!F157),Zusatzeingaben!F148,IF(AND($A$57="Gewinn aus selbständiger Tätigkeit",F57&gt;0),0,IF(AND(F54&lt;100,F58&lt;200,F69&gt;0),0,F107))))</f>
        <v>0</v>
      </c>
      <c r="G108" s="128">
        <f>IF(AND(G114&gt;0,G54&lt;=400),0,IF(AND(G58&gt;200,Zusatzeingaben!G159&gt;Zusatzeingaben!G157),Zusatzeingaben!G148,IF(AND($A$57="Gewinn aus selbständiger Tätigkeit",G57&gt;0),0,IF(AND(G54&lt;100,G58&lt;200,G69&gt;0),0,G107))))</f>
        <v>0</v>
      </c>
      <c r="H108" s="128">
        <f>IF(AND(H114&gt;0,H54&lt;=400),0,IF(AND(H58&gt;200,Zusatzeingaben!H159&gt;Zusatzeingaben!H157),Zusatzeingaben!H148,IF(AND($A$57="Gewinn aus selbständiger Tätigkeit",H57&gt;0),0,IF(AND(H54&lt;100,H58&lt;200,H69&gt;0),0,H107))))</f>
        <v>0</v>
      </c>
      <c r="I108" s="190">
        <f>IF(AND(I114&gt;0,I54&lt;=400),0,IF(AND(I58&gt;200,Zusatzeingaben!I159&gt;Zusatzeingaben!I157),Zusatzeingaben!I148,IF(AND($A$57="Gewinn aus selbständiger Tätigkeit",I57&gt;0),0,IF(AND(I54&lt;100,I58&lt;200,I69&gt;0),0,I107))))</f>
        <v>0</v>
      </c>
    </row>
    <row r="109" spans="1:9">
      <c r="A109" s="409">
        <f>IF(B109&gt;0,"./. notwendige Ausgaben",0)</f>
        <v>0</v>
      </c>
      <c r="B109" s="284">
        <f>SUM(C109:I109)</f>
        <v>0</v>
      </c>
      <c r="C109" s="128">
        <f>Zusatzeingaben!C218</f>
        <v>0</v>
      </c>
      <c r="D109" s="128">
        <f>Zusatzeingaben!D218</f>
        <v>0</v>
      </c>
      <c r="E109" s="128">
        <f>Zusatzeingaben!E218</f>
        <v>0</v>
      </c>
      <c r="F109" s="128">
        <f>Zusatzeingaben!F218</f>
        <v>0</v>
      </c>
      <c r="G109" s="128">
        <f>Zusatzeingaben!G218</f>
        <v>0</v>
      </c>
      <c r="H109" s="128">
        <f>Zusatzeingaben!H218</f>
        <v>0</v>
      </c>
      <c r="I109" s="190">
        <f>Zusatzeingaben!I218</f>
        <v>0</v>
      </c>
    </row>
    <row r="110" spans="1:9" ht="16.5" hidden="1" customHeight="1">
      <c r="A110" s="411"/>
      <c r="B110" s="62"/>
      <c r="C110" s="62">
        <f>IF(Zusatzeingaben!C161&gt;200,0,Zusatzeingaben!C161)</f>
        <v>0</v>
      </c>
      <c r="D110" s="62">
        <f>IF(Zusatzeingaben!D161&gt;200,0,Zusatzeingaben!D161)</f>
        <v>0</v>
      </c>
      <c r="E110" s="62">
        <f>IF(Zusatzeingaben!E161&gt;200,0,Zusatzeingaben!E161)</f>
        <v>0</v>
      </c>
      <c r="F110" s="62">
        <f>IF(Zusatzeingaben!F161&gt;200,0,Zusatzeingaben!F161)</f>
        <v>0</v>
      </c>
      <c r="G110" s="62">
        <f>IF(Zusatzeingaben!G161&gt;200,0,Zusatzeingaben!G161)</f>
        <v>0</v>
      </c>
      <c r="H110" s="62">
        <f>IF(Zusatzeingaben!H161&gt;200,0,Zusatzeingaben!H161)</f>
        <v>0</v>
      </c>
      <c r="I110" s="110">
        <f>IF(Zusatzeingaben!I161&gt;200,0,Zusatzeingaben!I161)</f>
        <v>0</v>
      </c>
    </row>
    <row r="111" spans="1:9" ht="16.5" hidden="1" customHeight="1">
      <c r="A111" s="411"/>
      <c r="B111" s="62"/>
      <c r="C111" s="62">
        <f>IF(AND(Zusatzeingaben!C131+Zusatzeingaben!C139&gt;400,Zusatzeingaben!C160&gt;100,Zusatzeingaben!C138&gt;0,Zusatzeingaben!C159+100&gt;Zusatzeingaben!C160),Zusatzeingaben!C159+100,IF(OR(Zusatzeingaben!C153&gt;100,Zusatzeingaben!C156&gt;100),0,IF(AND(Zusatzeingaben!C180&gt;0,Zusatzeingaben!C191&gt;100+Zusatzeingaben!C190),0,C110)))</f>
        <v>0</v>
      </c>
      <c r="D111" s="62">
        <f>IF(AND(Zusatzeingaben!D131+Zusatzeingaben!D139&gt;400,Zusatzeingaben!D160&gt;100,Zusatzeingaben!D138&gt;0,Zusatzeingaben!D159+100&gt;Zusatzeingaben!D160),Zusatzeingaben!D159+100,IF(OR(Zusatzeingaben!D153&gt;100,Zusatzeingaben!D156&gt;100),0,IF(AND(Zusatzeingaben!D180&gt;0,Zusatzeingaben!D191&gt;100+Zusatzeingaben!D190),0,D110)))</f>
        <v>0</v>
      </c>
      <c r="E111" s="62">
        <f>IF(AND(Zusatzeingaben!E131+Zusatzeingaben!E139&gt;400,Zusatzeingaben!E160&gt;100,Zusatzeingaben!E138&gt;0,Zusatzeingaben!E159+100&gt;Zusatzeingaben!E160),Zusatzeingaben!E159+100,IF(OR(Zusatzeingaben!E153&gt;100,Zusatzeingaben!E156&gt;100),0,IF(AND(Zusatzeingaben!E180&gt;0,Zusatzeingaben!E191&gt;100+Zusatzeingaben!E190),0,E110)))</f>
        <v>0</v>
      </c>
      <c r="F111" s="62">
        <f>IF(AND(Zusatzeingaben!F131+Zusatzeingaben!F139&gt;400,Zusatzeingaben!F160&gt;100,Zusatzeingaben!F138&gt;0,Zusatzeingaben!F159+100&gt;Zusatzeingaben!F160),Zusatzeingaben!F159+100,IF(OR(Zusatzeingaben!F153&gt;100,Zusatzeingaben!F156&gt;100),0,IF(AND(Zusatzeingaben!F180&gt;0,Zusatzeingaben!F191&gt;100+Zusatzeingaben!F190),0,F110)))</f>
        <v>0</v>
      </c>
      <c r="G111" s="62">
        <f>IF(AND(Zusatzeingaben!G131+Zusatzeingaben!G139&gt;400,Zusatzeingaben!G160&gt;100,Zusatzeingaben!G138&gt;0,Zusatzeingaben!G159+100&gt;Zusatzeingaben!G160),Zusatzeingaben!G159+100,IF(OR(Zusatzeingaben!G153&gt;100,Zusatzeingaben!G156&gt;100),0,IF(AND(Zusatzeingaben!G180&gt;0,Zusatzeingaben!G191&gt;100+Zusatzeingaben!G190),0,G110)))</f>
        <v>0</v>
      </c>
      <c r="H111" s="62">
        <f>IF(AND(Zusatzeingaben!H131+Zusatzeingaben!H139&gt;400,Zusatzeingaben!H160&gt;100,Zusatzeingaben!H138&gt;0,Zusatzeingaben!H159+100&gt;Zusatzeingaben!H160),Zusatzeingaben!H159+100,IF(OR(Zusatzeingaben!H153&gt;100,Zusatzeingaben!H156&gt;100),0,IF(AND(Zusatzeingaben!H180&gt;0,Zusatzeingaben!H191&gt;100+Zusatzeingaben!H190),0,H110)))</f>
        <v>0</v>
      </c>
      <c r="I111" s="110">
        <f>IF(AND(Zusatzeingaben!I131+Zusatzeingaben!I139&gt;400,Zusatzeingaben!I160&gt;100,Zusatzeingaben!I138&gt;0,Zusatzeingaben!I159+100&gt;Zusatzeingaben!I160),Zusatzeingaben!I159+100,IF(OR(Zusatzeingaben!I153&gt;100,Zusatzeingaben!I156&gt;100),0,IF(AND(Zusatzeingaben!I180&gt;0,Zusatzeingaben!I191&gt;100+Zusatzeingaben!I190),0,I110)))</f>
        <v>0</v>
      </c>
    </row>
    <row r="112" spans="1:9" ht="16.5" hidden="1" customHeight="1">
      <c r="A112" s="411"/>
      <c r="B112" s="62"/>
      <c r="C112" s="62">
        <f>IF(OR(Zusatzeingaben!C161=100,Zusatzeingaben!C161=200),Zusatzeingaben!C161,C111)</f>
        <v>0</v>
      </c>
      <c r="D112" s="62">
        <f>IF(OR(Zusatzeingaben!D161=100,Zusatzeingaben!D161=200),Zusatzeingaben!D161,D111)</f>
        <v>0</v>
      </c>
      <c r="E112" s="62">
        <f>IF(OR(Zusatzeingaben!E161=100,Zusatzeingaben!E161=200),Zusatzeingaben!E161,E111)</f>
        <v>0</v>
      </c>
      <c r="F112" s="62">
        <f>IF(OR(Zusatzeingaben!F161=100,Zusatzeingaben!F161=200),Zusatzeingaben!F161,F111)</f>
        <v>0</v>
      </c>
      <c r="G112" s="62">
        <f>IF(OR(Zusatzeingaben!G161=100,Zusatzeingaben!G161=200),Zusatzeingaben!G161,G111)</f>
        <v>0</v>
      </c>
      <c r="H112" s="62">
        <f>IF(OR(Zusatzeingaben!H161=100,Zusatzeingaben!H161=200),Zusatzeingaben!H161,H111)</f>
        <v>0</v>
      </c>
      <c r="I112" s="110">
        <f>IF(OR(Zusatzeingaben!I161=100,Zusatzeingaben!I161=200),Zusatzeingaben!I161,I111)</f>
        <v>0</v>
      </c>
    </row>
    <row r="113" spans="1:9" ht="16.5" customHeight="1">
      <c r="A113" s="408">
        <f>IF(B113&gt;0,"./. Grundfreibetrag Lohn / Ehrenamt",0)</f>
        <v>0</v>
      </c>
      <c r="B113" s="284">
        <f>SUM(C113:I113)</f>
        <v>0</v>
      </c>
      <c r="C113" s="62">
        <f>IF(AND(Zusatzeingaben!C180&gt;0,Zusatzeingaben!C180&lt;Zusatzeingaben!C191),C112,IF(AND(Zusatzeingaben!C180&gt;0,C111=0,Zusatzeingaben!C191&gt;100),0,IF(C110&lt;100,C110,C112)))</f>
        <v>0</v>
      </c>
      <c r="D113" s="62">
        <f>IF(AND(Zusatzeingaben!D180&gt;0,Zusatzeingaben!D180&lt;Zusatzeingaben!D191),D112,IF(AND(Zusatzeingaben!D180&gt;0,D111=0,Zusatzeingaben!D191&gt;100),0,IF(D110&lt;100,D110,D112)))</f>
        <v>0</v>
      </c>
      <c r="E113" s="62">
        <f>IF(AND(Zusatzeingaben!E180&gt;0,Zusatzeingaben!E180&lt;Zusatzeingaben!E191),E112,IF(AND(Zusatzeingaben!E180&gt;0,E111=0,Zusatzeingaben!E191&gt;100),0,IF(E110&lt;100,E110,E112)))</f>
        <v>0</v>
      </c>
      <c r="F113" s="62">
        <f>IF(AND(Zusatzeingaben!F180&gt;0,Zusatzeingaben!F180&lt;Zusatzeingaben!F191),F112,IF(AND(Zusatzeingaben!F180&gt;0,F111=0,Zusatzeingaben!F191&gt;100),0,IF(F110&lt;100,F110,F112)))</f>
        <v>0</v>
      </c>
      <c r="G113" s="62">
        <f>IF(AND(Zusatzeingaben!G180&gt;0,Zusatzeingaben!G180&lt;Zusatzeingaben!G191),G112,IF(AND(Zusatzeingaben!G180&gt;0,G111=0,Zusatzeingaben!G191&gt;100),0,IF(G110&lt;100,G110,G112)))</f>
        <v>0</v>
      </c>
      <c r="H113" s="62">
        <f>IF(AND(Zusatzeingaben!H180&gt;0,Zusatzeingaben!H180&lt;Zusatzeingaben!H191),H112,IF(AND(Zusatzeingaben!H180&gt;0,H111=0,Zusatzeingaben!H191&gt;100),0,IF(H110&lt;100,H110,H112)))</f>
        <v>0</v>
      </c>
      <c r="I113" s="110">
        <f>IF(AND(Zusatzeingaben!I180&gt;0,Zusatzeingaben!I180&lt;Zusatzeingaben!I191),I112,IF(AND(Zusatzeingaben!I180&gt;0,I111=0,Zusatzeingaben!I191&gt;100),0,IF(I110&lt;100,I110,I112)))</f>
        <v>0</v>
      </c>
    </row>
    <row r="114" spans="1:9" ht="16.5" customHeight="1">
      <c r="A114" s="408">
        <f>IF(B114&gt;0,"./. Freibetrag Freiwilligendienste",0)</f>
        <v>0</v>
      </c>
      <c r="B114" s="284">
        <f t="shared" ref="B114:B120" si="12">SUM(C114:I114)</f>
        <v>0</v>
      </c>
      <c r="C114" s="62">
        <f>Zusatzeingaben!C173</f>
        <v>0</v>
      </c>
      <c r="D114" s="62">
        <f>Zusatzeingaben!D173</f>
        <v>0</v>
      </c>
      <c r="E114" s="62">
        <f>Zusatzeingaben!E173</f>
        <v>0</v>
      </c>
      <c r="F114" s="62">
        <f>Zusatzeingaben!F173</f>
        <v>0</v>
      </c>
      <c r="G114" s="62">
        <f>Zusatzeingaben!G173</f>
        <v>0</v>
      </c>
      <c r="H114" s="62">
        <f>Zusatzeingaben!H173</f>
        <v>0</v>
      </c>
      <c r="I114" s="110">
        <f>Zusatzeingaben!I173</f>
        <v>0</v>
      </c>
    </row>
    <row r="115" spans="1:9" s="212" customFormat="1" ht="16.5" hidden="1" customHeight="1">
      <c r="A115" s="409"/>
      <c r="B115" s="62"/>
      <c r="C115" s="62">
        <f>IF(AND(Zusatzeingaben!C197&gt;0,C58=0),C54*30%,IF(AND(Zusatzeingaben!C34="nein",C58=0),C54*30%,0))</f>
        <v>0</v>
      </c>
      <c r="D115" s="62">
        <f>IF(AND(Zusatzeingaben!D197&gt;0,D58=0),D54*30%,IF(AND(Zusatzeingaben!D34="nein",D58=0),D54*30%,0))</f>
        <v>0</v>
      </c>
      <c r="E115" s="62">
        <f>IF(AND(Zusatzeingaben!E18&gt;14,Zusatzeingaben!E34="nein",E58=0),E54*30%,0)</f>
        <v>0</v>
      </c>
      <c r="F115" s="62">
        <f>IF(AND(Zusatzeingaben!F18&gt;14,Zusatzeingaben!F34="nein",F58=0),F54*30%,0)</f>
        <v>0</v>
      </c>
      <c r="G115" s="62">
        <f>IF(AND(Zusatzeingaben!G18&gt;14,Zusatzeingaben!G34="nein",G58=0),G54*30%,0)</f>
        <v>0</v>
      </c>
      <c r="H115" s="62">
        <f>IF(AND(Zusatzeingaben!H18&gt;14,Zusatzeingaben!H34="nein",H58=0),H54*30%,0)</f>
        <v>0</v>
      </c>
      <c r="I115" s="110">
        <f>IF(AND(Zusatzeingaben!I18&gt;14,Zusatzeingaben!I34="nein",I58=0),I54*30%,0)</f>
        <v>0</v>
      </c>
    </row>
    <row r="116" spans="1:9" s="212" customFormat="1" ht="16.5" hidden="1" customHeight="1">
      <c r="A116" s="409"/>
      <c r="B116" s="62"/>
      <c r="C116" s="62">
        <f>IF(AND(Zusatzeingaben!C197&gt;0,C115=0,C58&gt;0),0,IF(AND(Zusatzeingaben!C34="nein",C115=0,C58&gt;0),0,IF(C115&gt;0,MIN(C115,Zusatzeingaben!$C$233*50%),D190)))</f>
        <v>0</v>
      </c>
      <c r="D116" s="62">
        <f>IF(AND(Zusatzeingaben!D197&gt;0,D115=0,D58&gt;0),0,IF(AND(Zusatzeingaben!D34="nein",D115=0,D58&gt;0),0,IF(D115&gt;0,MIN(D115,Zusatzeingaben!$C$233*50%),D195)))</f>
        <v>0</v>
      </c>
      <c r="E116" s="62">
        <f>IF(AND(Zusatzeingaben!E18&gt;14,Zusatzeingaben!E34="nein",E115=0,E58&gt;0),0,IF(Zusatzeingaben!E18&lt;15,0,IF(E115&gt;0,MIN(E115,Zusatzeingaben!$C$233*50%),D200)))</f>
        <v>0</v>
      </c>
      <c r="F116" s="62">
        <f>IF(AND(Zusatzeingaben!F18&gt;14,Zusatzeingaben!F34="nein",F115=0,F58&gt;0),0,IF(Zusatzeingaben!F18&lt;15,0,IF(F115&gt;0,MIN(F115,Zusatzeingaben!$C$233*50%),D205)))</f>
        <v>0</v>
      </c>
      <c r="G116" s="62">
        <f>IF(AND(Zusatzeingaben!G18&gt;14,Zusatzeingaben!G34="nein",G115=0,G58&gt;0),0,IF(Zusatzeingaben!G18&lt;15,0,IF(G115&gt;0,MIN(G115,Zusatzeingaben!$C$233*50%),D210)))</f>
        <v>0</v>
      </c>
      <c r="H116" s="62">
        <f>IF(AND(Zusatzeingaben!H18&gt;14,Zusatzeingaben!H34="nein",H115=0,H58&gt;0),0,IF(Zusatzeingaben!H18&lt;15,0,IF(H115&gt;0,MIN(H115,Zusatzeingaben!$C$233*50%),D215)))</f>
        <v>0</v>
      </c>
      <c r="I116" s="110">
        <f>IF(AND(Zusatzeingaben!I18&gt;14,Zusatzeingaben!I34="nein",I115=0,I58&gt;0),0,IF(Zusatzeingaben!I18&lt;15,0,IF(I115&gt;0,MIN(I115,Zusatzeingaben!$C$233*50%),D220)))</f>
        <v>0</v>
      </c>
    </row>
    <row r="117" spans="1:9" s="212" customFormat="1" ht="16.5" customHeight="1">
      <c r="A117" s="409">
        <f>IF(B117&gt;0,"./. Freibetrag bei Erwerbstätigkeit",0)</f>
        <v>0</v>
      </c>
      <c r="B117" s="284">
        <f t="shared" si="12"/>
        <v>0</v>
      </c>
      <c r="C117" s="62">
        <f>IF(C54+C58-C113=0,0,IF(C54+C58-C113-C116&lt;0,C54+C58-C113,C116))</f>
        <v>0</v>
      </c>
      <c r="D117" s="62">
        <f t="shared" ref="D117:I117" si="13">IF(D54+D58-D113=0,0,IF(D54+D58-D113-D116&lt;0,D54+D58-D113,D116))</f>
        <v>0</v>
      </c>
      <c r="E117" s="62">
        <f t="shared" si="13"/>
        <v>0</v>
      </c>
      <c r="F117" s="62">
        <f t="shared" si="13"/>
        <v>0</v>
      </c>
      <c r="G117" s="62">
        <f t="shared" si="13"/>
        <v>0</v>
      </c>
      <c r="H117" s="62">
        <f t="shared" si="13"/>
        <v>0</v>
      </c>
      <c r="I117" s="110">
        <f t="shared" si="13"/>
        <v>0</v>
      </c>
    </row>
    <row r="118" spans="1:9" s="212" customFormat="1" ht="16.5" customHeight="1">
      <c r="A118" s="409">
        <f>IF(B118&gt;0,"./. Unterhaltsverpflichtungen",0)</f>
        <v>0</v>
      </c>
      <c r="B118" s="284">
        <f t="shared" si="12"/>
        <v>0</v>
      </c>
      <c r="C118" s="62">
        <f>IF(C70=0,0,Zusatzeingaben!C219)</f>
        <v>0</v>
      </c>
      <c r="D118" s="62">
        <f>IF(D70=0,0,Zusatzeingaben!D219)</f>
        <v>0</v>
      </c>
      <c r="E118" s="62">
        <f>IF(E70=0,0,Zusatzeingaben!E219)</f>
        <v>0</v>
      </c>
      <c r="F118" s="62">
        <f>IF(F70=0,0,Zusatzeingaben!F219)</f>
        <v>0</v>
      </c>
      <c r="G118" s="62">
        <f>IF(G70=0,0,Zusatzeingaben!G219)</f>
        <v>0</v>
      </c>
      <c r="H118" s="62">
        <f>IF(H70=0,0,Zusatzeingaben!H219)</f>
        <v>0</v>
      </c>
      <c r="I118" s="110">
        <f>IF(I70=0,0,Zusatzeingaben!I219)</f>
        <v>0</v>
      </c>
    </row>
    <row r="119" spans="1:9" s="212" customFormat="1" ht="16.5" customHeight="1">
      <c r="A119" s="415">
        <f>IF(B119&gt;0,"./. Elterngeldfreibetrag",0)</f>
        <v>0</v>
      </c>
      <c r="B119" s="284">
        <f t="shared" si="12"/>
        <v>0</v>
      </c>
      <c r="C119" s="62">
        <f>Zusatzeingaben!C179</f>
        <v>0</v>
      </c>
      <c r="D119" s="62">
        <f>Zusatzeingaben!D179</f>
        <v>0</v>
      </c>
      <c r="E119" s="62"/>
      <c r="F119" s="62"/>
      <c r="G119" s="298"/>
      <c r="H119" s="298"/>
      <c r="I119" s="299"/>
    </row>
    <row r="120" spans="1:9" s="212" customFormat="1" ht="18" customHeight="1" thickBot="1">
      <c r="A120" s="416">
        <f>IF(AND(B120&gt;0,C120=Zusatzeingaben!C189),"./. Grundfreibetrag Ausbildungsförderung",IF(AND(B120&gt;0,C120=Zusatzeingaben!C190),"./. Ausgaben für die Ausbildung",0))</f>
        <v>0</v>
      </c>
      <c r="B120" s="285">
        <f t="shared" si="12"/>
        <v>0</v>
      </c>
      <c r="C120" s="286">
        <f>IF(Zusatzeingaben!C191&gt;100,Zusatzeingaben!C190,IF(AND(Zusatzeingaben!C190&gt;0,Zusatzeingaben!C190&gt;Zusatzeingaben!C189),Zusatzeingaben!C190,Zusatzeingaben!C189))</f>
        <v>0</v>
      </c>
      <c r="D120" s="286">
        <f>IF(Zusatzeingaben!D191&gt;100,Zusatzeingaben!D190,IF(AND(Zusatzeingaben!D190&gt;0,Zusatzeingaben!D190&gt;Zusatzeingaben!D189),Zusatzeingaben!D190,Zusatzeingaben!D189))</f>
        <v>0</v>
      </c>
      <c r="E120" s="286">
        <f>IF(Zusatzeingaben!E191&gt;100,Zusatzeingaben!E190,IF(AND(Zusatzeingaben!E190&gt;0,Zusatzeingaben!E190&gt;Zusatzeingaben!E189),Zusatzeingaben!E190,Zusatzeingaben!E189))</f>
        <v>0</v>
      </c>
      <c r="F120" s="286">
        <f>IF(Zusatzeingaben!F191&gt;100,Zusatzeingaben!F190,IF(AND(Zusatzeingaben!F190&gt;0,Zusatzeingaben!F190&gt;Zusatzeingaben!F189),Zusatzeingaben!F190,Zusatzeingaben!F189))</f>
        <v>0</v>
      </c>
      <c r="G120" s="286">
        <f>IF(Zusatzeingaben!G191&gt;100,Zusatzeingaben!G190,IF(AND(Zusatzeingaben!G190&gt;0,Zusatzeingaben!G190&gt;Zusatzeingaben!G189),Zusatzeingaben!G190,Zusatzeingaben!G189))</f>
        <v>0</v>
      </c>
      <c r="H120" s="286">
        <f>IF(Zusatzeingaben!H191&gt;100,Zusatzeingaben!H190,IF(AND(Zusatzeingaben!H190&gt;0,Zusatzeingaben!H190&gt;Zusatzeingaben!H189),Zusatzeingaben!H190,Zusatzeingaben!H189))</f>
        <v>0</v>
      </c>
      <c r="I120" s="287">
        <f>IF(Zusatzeingaben!I191&gt;100,Zusatzeingaben!I190,IF(AND(Zusatzeingaben!I190&gt;0,Zusatzeingaben!I190&gt;Zusatzeingaben!I189),Zusatzeingaben!I190,Zusatzeingaben!I189))</f>
        <v>0</v>
      </c>
    </row>
    <row r="121" spans="1:9" s="212" customFormat="1" ht="18" hidden="1" customHeight="1">
      <c r="A121" s="250"/>
      <c r="B121" s="137">
        <f>SUM(C121:I121)</f>
        <v>0</v>
      </c>
      <c r="C121" s="612">
        <f t="shared" ref="C121:I121" si="14">C70-C76-C82-C87-C92-C98-C104-C108-C109-C113-C114-C117-C118-C119-C120</f>
        <v>0</v>
      </c>
      <c r="D121" s="612">
        <f t="shared" si="14"/>
        <v>0</v>
      </c>
      <c r="E121" s="612">
        <f t="shared" si="14"/>
        <v>0</v>
      </c>
      <c r="F121" s="612">
        <f t="shared" si="14"/>
        <v>0</v>
      </c>
      <c r="G121" s="612">
        <f t="shared" si="14"/>
        <v>0</v>
      </c>
      <c r="H121" s="612">
        <f t="shared" si="14"/>
        <v>0</v>
      </c>
      <c r="I121" s="717">
        <f t="shared" si="14"/>
        <v>0</v>
      </c>
    </row>
    <row r="122" spans="1:9" s="212" customFormat="1" ht="21" customHeight="1" thickTop="1" thickBot="1">
      <c r="A122" s="344" t="s">
        <v>67</v>
      </c>
      <c r="B122" s="280">
        <f>SUM(C122:I122)</f>
        <v>0</v>
      </c>
      <c r="C122" s="280">
        <f>IF(C121&lt;0,0,C121)</f>
        <v>0</v>
      </c>
      <c r="D122" s="280">
        <f t="shared" ref="D122:I122" si="15">IF(D121&lt;0,0,D121)</f>
        <v>0</v>
      </c>
      <c r="E122" s="280">
        <f t="shared" si="15"/>
        <v>0</v>
      </c>
      <c r="F122" s="280">
        <f t="shared" si="15"/>
        <v>0</v>
      </c>
      <c r="G122" s="280">
        <f t="shared" si="15"/>
        <v>0</v>
      </c>
      <c r="H122" s="280">
        <f t="shared" si="15"/>
        <v>0</v>
      </c>
      <c r="I122" s="281">
        <f t="shared" si="15"/>
        <v>0</v>
      </c>
    </row>
    <row r="123" spans="1:9" s="212" customFormat="1" ht="10.5" customHeight="1"/>
    <row r="124" spans="1:9" ht="9.75" customHeight="1" thickBot="1"/>
    <row r="125" spans="1:9" s="212" customFormat="1" ht="21.75" customHeight="1">
      <c r="A125" s="221"/>
      <c r="B125" s="345" t="s">
        <v>44</v>
      </c>
      <c r="C125" s="222"/>
      <c r="D125" s="222"/>
      <c r="E125" s="222"/>
      <c r="F125" s="222"/>
      <c r="G125" s="222"/>
      <c r="H125" s="222"/>
      <c r="I125" s="223"/>
    </row>
    <row r="126" spans="1:9" s="212" customFormat="1" ht="18.75" customHeight="1">
      <c r="A126" s="224"/>
      <c r="B126" s="341" t="s">
        <v>1</v>
      </c>
      <c r="C126" s="341" t="str">
        <f>Zusatzeingaben!C4</f>
        <v>Antragsteller</v>
      </c>
      <c r="D126" s="341" t="str">
        <f>Zusatzeingaben!D4</f>
        <v>Partner(in)</v>
      </c>
      <c r="E126" s="341" t="str">
        <f>Zusatzeingaben!E4</f>
        <v>Kind 1</v>
      </c>
      <c r="F126" s="341" t="s">
        <v>8</v>
      </c>
      <c r="G126" s="341" t="s">
        <v>9</v>
      </c>
      <c r="H126" s="341" t="s">
        <v>10</v>
      </c>
      <c r="I126" s="342" t="s">
        <v>34</v>
      </c>
    </row>
    <row r="127" spans="1:9" s="212" customFormat="1" ht="17.25" customHeight="1">
      <c r="A127" s="230" t="s">
        <v>0</v>
      </c>
      <c r="B127" s="284">
        <f>SUM(C127:I127)</f>
        <v>416</v>
      </c>
      <c r="C127" s="295">
        <f t="shared" ref="C127:I127" si="16">C50</f>
        <v>416</v>
      </c>
      <c r="D127" s="295">
        <f t="shared" si="16"/>
        <v>0</v>
      </c>
      <c r="E127" s="295">
        <f t="shared" si="16"/>
        <v>0</v>
      </c>
      <c r="F127" s="295">
        <f t="shared" si="16"/>
        <v>0</v>
      </c>
      <c r="G127" s="295">
        <f t="shared" si="16"/>
        <v>0</v>
      </c>
      <c r="H127" s="295">
        <f t="shared" si="16"/>
        <v>0</v>
      </c>
      <c r="I127" s="296">
        <f t="shared" si="16"/>
        <v>0</v>
      </c>
    </row>
    <row r="128" spans="1:9" s="212" customFormat="1" ht="19.5" customHeight="1" thickBot="1">
      <c r="A128" s="245">
        <f>IF(B128&gt;0,"./. Einkommen Kinder",0)</f>
        <v>0</v>
      </c>
      <c r="B128" s="433">
        <f>SUM(C128:I128)</f>
        <v>0</v>
      </c>
      <c r="C128" s="311"/>
      <c r="D128" s="311"/>
      <c r="E128" s="312">
        <f>E122</f>
        <v>0</v>
      </c>
      <c r="F128" s="312">
        <f>F122</f>
        <v>0</v>
      </c>
      <c r="G128" s="312">
        <f>G122</f>
        <v>0</v>
      </c>
      <c r="H128" s="312">
        <f>H122</f>
        <v>0</v>
      </c>
      <c r="I128" s="313">
        <f>I122</f>
        <v>0</v>
      </c>
    </row>
    <row r="129" spans="1:11" s="212" customFormat="1" ht="17.25" hidden="1" customHeight="1">
      <c r="A129" s="246"/>
      <c r="B129" s="314"/>
      <c r="C129" s="314"/>
      <c r="D129" s="314"/>
      <c r="E129" s="128">
        <f>E127-E128</f>
        <v>0</v>
      </c>
      <c r="F129" s="128">
        <f>F127-F128</f>
        <v>0</v>
      </c>
      <c r="G129" s="128">
        <f>G127-G128</f>
        <v>0</v>
      </c>
      <c r="H129" s="128">
        <f>H127-H128</f>
        <v>0</v>
      </c>
      <c r="I129" s="190">
        <f>I127-I128</f>
        <v>0</v>
      </c>
    </row>
    <row r="130" spans="1:11" ht="17.25" hidden="1" customHeight="1">
      <c r="A130" s="243"/>
      <c r="B130" s="315"/>
      <c r="C130" s="316"/>
      <c r="D130" s="316"/>
      <c r="E130" s="316">
        <f>IF(E129&lt;0,0,E129)</f>
        <v>0</v>
      </c>
      <c r="F130" s="316">
        <f>IF(F129&lt;0,0,F129)</f>
        <v>0</v>
      </c>
      <c r="G130" s="316">
        <f>IF(G129&lt;0,0,G129)</f>
        <v>0</v>
      </c>
      <c r="H130" s="316">
        <f>IF(H129&lt;0,0,H129)</f>
        <v>0</v>
      </c>
      <c r="I130" s="317">
        <f>IF(I129&lt;0,0,I129)</f>
        <v>0</v>
      </c>
    </row>
    <row r="131" spans="1:11" ht="19.5" customHeight="1" thickTop="1">
      <c r="A131" s="230" t="s">
        <v>36</v>
      </c>
      <c r="B131" s="284">
        <f>SUM(C131:I131)</f>
        <v>416</v>
      </c>
      <c r="C131" s="295">
        <f>C127</f>
        <v>416</v>
      </c>
      <c r="D131" s="295">
        <f>D127</f>
        <v>0</v>
      </c>
      <c r="E131" s="295">
        <f>E130</f>
        <v>0</v>
      </c>
      <c r="F131" s="295">
        <f>F130</f>
        <v>0</v>
      </c>
      <c r="G131" s="295">
        <f>G130</f>
        <v>0</v>
      </c>
      <c r="H131" s="295">
        <f>H130</f>
        <v>0</v>
      </c>
      <c r="I131" s="296">
        <f>I130</f>
        <v>0</v>
      </c>
      <c r="K131" s="439"/>
    </row>
    <row r="132" spans="1:11" ht="18" hidden="1" customHeight="1">
      <c r="A132" s="230"/>
      <c r="B132" s="284">
        <f>SUM(C132:I132)</f>
        <v>416</v>
      </c>
      <c r="C132" s="295">
        <f t="shared" ref="C132:I132" si="17">IF(C10="ja",C131,0)</f>
        <v>416</v>
      </c>
      <c r="D132" s="295">
        <f t="shared" si="17"/>
        <v>0</v>
      </c>
      <c r="E132" s="295">
        <f>IF(AND(Zusatzeingaben!E37=0,E10="ja"),E131,0)</f>
        <v>0</v>
      </c>
      <c r="F132" s="295">
        <f t="shared" si="17"/>
        <v>0</v>
      </c>
      <c r="G132" s="295">
        <f t="shared" si="17"/>
        <v>0</v>
      </c>
      <c r="H132" s="295">
        <f t="shared" si="17"/>
        <v>0</v>
      </c>
      <c r="I132" s="296">
        <f t="shared" si="17"/>
        <v>0</v>
      </c>
    </row>
    <row r="133" spans="1:11" ht="17.25" customHeight="1">
      <c r="A133" s="247" t="s">
        <v>37</v>
      </c>
      <c r="B133" s="430">
        <f>SUM(C133:I133)</f>
        <v>1</v>
      </c>
      <c r="C133" s="318">
        <f>IF(AND(B132&gt;0,C10="ja"),C132/B132,0)</f>
        <v>1</v>
      </c>
      <c r="D133" s="318">
        <f t="shared" ref="D133:I133" si="18">IF(AND($B$132&gt;0,D11&gt;0,D10="ja"),D132/$B$132,0)</f>
        <v>0</v>
      </c>
      <c r="E133" s="318">
        <f t="shared" si="18"/>
        <v>0</v>
      </c>
      <c r="F133" s="318">
        <f t="shared" si="18"/>
        <v>0</v>
      </c>
      <c r="G133" s="318">
        <f t="shared" si="18"/>
        <v>0</v>
      </c>
      <c r="H133" s="318">
        <f t="shared" si="18"/>
        <v>0</v>
      </c>
      <c r="I133" s="319">
        <f t="shared" si="18"/>
        <v>0</v>
      </c>
    </row>
    <row r="134" spans="1:11" ht="19.5" hidden="1" customHeight="1">
      <c r="A134" s="244"/>
      <c r="B134" s="284"/>
      <c r="C134" s="318"/>
      <c r="D134" s="318"/>
      <c r="E134" s="62">
        <f>IF(E129&lt;0,E129,0)</f>
        <v>0</v>
      </c>
      <c r="F134" s="62">
        <f>IF(F129&lt;0,F129,0)</f>
        <v>0</v>
      </c>
      <c r="G134" s="62">
        <f>IF(G129&lt;0,G129,0)</f>
        <v>0</v>
      </c>
      <c r="H134" s="62">
        <f>IF(H129&lt;0,H129,0)</f>
        <v>0</v>
      </c>
      <c r="I134" s="110">
        <f>IF(I129&lt;0,I129,0)</f>
        <v>0</v>
      </c>
    </row>
    <row r="135" spans="1:11" hidden="1">
      <c r="A135" s="248"/>
      <c r="B135" s="320"/>
      <c r="C135" s="137"/>
      <c r="D135" s="137"/>
      <c r="E135" s="137">
        <f>IF(E134&lt;-E62,-E62,E134)</f>
        <v>0</v>
      </c>
      <c r="F135" s="137">
        <f>IF(F134&lt;-F62,-F62,F134)</f>
        <v>0</v>
      </c>
      <c r="G135" s="137">
        <f>IF(G134&lt;-G62,-G62,G134)</f>
        <v>0</v>
      </c>
      <c r="H135" s="137">
        <f>IF(H134&lt;-H62,-H62,H134)</f>
        <v>0</v>
      </c>
      <c r="I135" s="175">
        <f>IF(I134&lt;-I62,-I62,I134)</f>
        <v>0</v>
      </c>
    </row>
    <row r="136" spans="1:11" ht="19.5" hidden="1" customHeight="1">
      <c r="A136" s="248"/>
      <c r="B136" s="320"/>
      <c r="C136" s="137"/>
      <c r="D136" s="137"/>
      <c r="E136" s="137">
        <f>-E135*1</f>
        <v>0</v>
      </c>
      <c r="F136" s="137">
        <f>-F135*1</f>
        <v>0</v>
      </c>
      <c r="G136" s="137">
        <f>-G135*1</f>
        <v>0</v>
      </c>
      <c r="H136" s="137">
        <f>-H135*1</f>
        <v>0</v>
      </c>
      <c r="I136" s="175">
        <f>-I135*1</f>
        <v>0</v>
      </c>
    </row>
    <row r="137" spans="1:11" ht="18" customHeight="1">
      <c r="A137" s="249">
        <f>IF(C137&gt;0,"übertragbares Kindergeld",0)</f>
        <v>0</v>
      </c>
      <c r="B137" s="321"/>
      <c r="C137" s="322">
        <f>SUM(E136:I136)</f>
        <v>0</v>
      </c>
      <c r="D137" s="323"/>
      <c r="E137" s="323"/>
      <c r="F137" s="323"/>
      <c r="G137" s="323"/>
      <c r="H137" s="323"/>
      <c r="I137" s="324"/>
    </row>
    <row r="138" spans="1:11" ht="19.5" hidden="1" customHeight="1">
      <c r="A138" s="249"/>
      <c r="B138" s="314"/>
      <c r="C138" s="322">
        <f>IF(AND(C122=0,C137&gt;0),30+Zusatzeingaben!C204+Zusatzeingaben!C205+Zusatzeingaben!C213,0)</f>
        <v>0</v>
      </c>
      <c r="D138" s="322">
        <f>IF(AND(D122=0,D137&gt;0),30+Zusatzeingaben!D204+Zusatzeingaben!D205+Zusatzeingaben!D213,0)</f>
        <v>0</v>
      </c>
      <c r="E138" s="322">
        <f>IF(AND(E122=0,E137&gt;0),30+Zusatzeingaben!E204+Zusatzeingaben!E205+Zusatzeingaben!E213,0)</f>
        <v>0</v>
      </c>
      <c r="F138" s="322">
        <f>IF(AND(F122=0,F137&gt;0),30+Zusatzeingaben!F204+Zusatzeingaben!F205+Zusatzeingaben!F213,0)</f>
        <v>0</v>
      </c>
      <c r="G138" s="322">
        <f>IF(AND(G122=0,G137&gt;0),30+Zusatzeingaben!G204+Zusatzeingaben!G205+Zusatzeingaben!G213,0)</f>
        <v>0</v>
      </c>
      <c r="H138" s="322">
        <f>IF(AND(H122=0,H137&gt;0),30+Zusatzeingaben!H204+Zusatzeingaben!H205+Zusatzeingaben!H213,0)</f>
        <v>0</v>
      </c>
      <c r="I138" s="322">
        <f>IF(AND(I122=0,I137&gt;0),30+Zusatzeingaben!I204+Zusatzeingaben!I205+Zusatzeingaben!I213,0)</f>
        <v>0</v>
      </c>
    </row>
    <row r="139" spans="1:11" ht="19.5" hidden="1" customHeight="1">
      <c r="A139" s="249"/>
      <c r="B139" s="314"/>
      <c r="C139" s="322">
        <f>C137-C138</f>
        <v>0</v>
      </c>
      <c r="D139" s="323"/>
      <c r="E139" s="323"/>
      <c r="F139" s="323"/>
      <c r="G139" s="323"/>
      <c r="H139" s="323"/>
      <c r="I139" s="324"/>
    </row>
    <row r="140" spans="1:11" ht="19.5" hidden="1" customHeight="1">
      <c r="A140" s="249"/>
      <c r="B140" s="314"/>
      <c r="C140" s="322">
        <f>IF(C139&lt;0,0,C139)</f>
        <v>0</v>
      </c>
      <c r="D140" s="323"/>
      <c r="E140" s="323"/>
      <c r="F140" s="323"/>
      <c r="G140" s="323"/>
      <c r="H140" s="323"/>
      <c r="I140" s="324"/>
    </row>
    <row r="141" spans="1:11" ht="17.25" customHeight="1">
      <c r="A141" s="247" t="s">
        <v>22</v>
      </c>
      <c r="B141" s="975">
        <f>C141+D141</f>
        <v>0</v>
      </c>
      <c r="C141" s="62">
        <f>C122+C140</f>
        <v>0</v>
      </c>
      <c r="D141" s="62">
        <f>D122</f>
        <v>0</v>
      </c>
      <c r="E141" s="325"/>
      <c r="F141" s="325"/>
      <c r="G141" s="325"/>
      <c r="H141" s="325"/>
      <c r="I141" s="326"/>
    </row>
    <row r="142" spans="1:11" hidden="1">
      <c r="A142" s="250"/>
      <c r="B142" s="327"/>
      <c r="C142" s="137">
        <f>C127-C141</f>
        <v>416</v>
      </c>
      <c r="D142" s="137">
        <f>D127-D141</f>
        <v>0</v>
      </c>
      <c r="E142" s="327"/>
      <c r="F142" s="327"/>
      <c r="G142" s="327"/>
      <c r="H142" s="327"/>
      <c r="I142" s="328"/>
    </row>
    <row r="143" spans="1:11" hidden="1">
      <c r="A143" s="250"/>
      <c r="B143" s="327"/>
      <c r="C143" s="137">
        <f>-1*C142</f>
        <v>-416</v>
      </c>
      <c r="D143" s="137">
        <f>-1*D142</f>
        <v>0</v>
      </c>
      <c r="E143" s="327"/>
      <c r="F143" s="327"/>
      <c r="G143" s="327"/>
      <c r="H143" s="327"/>
      <c r="I143" s="328"/>
    </row>
    <row r="144" spans="1:11" hidden="1">
      <c r="A144" s="250"/>
      <c r="B144" s="327"/>
      <c r="C144" s="137">
        <f>IF(C143&gt;0,C143,0)</f>
        <v>0</v>
      </c>
      <c r="D144" s="137">
        <f>IF(D143&gt;0,D143,0)</f>
        <v>0</v>
      </c>
      <c r="E144" s="137"/>
      <c r="F144" s="137"/>
      <c r="G144" s="137"/>
      <c r="H144" s="137"/>
      <c r="I144" s="175"/>
    </row>
    <row r="145" spans="1:12">
      <c r="A145" s="247">
        <f>IF(B145&gt;0,"./. nicht verteilbares Einkommen",0)</f>
        <v>0</v>
      </c>
      <c r="B145" s="284">
        <f>C145+D145</f>
        <v>0</v>
      </c>
      <c r="C145" s="62">
        <f>IF(AND($B$7&gt;2,D133&gt;0,C133=0,SUM(D131:$I$131)&lt;D141),C141,IF(OR(C10="nur Mehrbedarf",C10="nein"),C141-C146,0))</f>
        <v>0</v>
      </c>
      <c r="D145" s="62">
        <f>IF(AND($B$7&gt;2,C133&gt;0,D133=0,C131+SUM($E$131:$I$131)&lt;C141),D141,IF(OR(D10="nur Mehrbedarf",D10="nein"),D141-D146,0))</f>
        <v>0</v>
      </c>
      <c r="E145" s="62"/>
      <c r="F145" s="62"/>
      <c r="G145" s="62"/>
      <c r="H145" s="62"/>
      <c r="I145" s="110"/>
    </row>
    <row r="146" spans="1:12" ht="17.25" customHeight="1">
      <c r="A146" s="230" t="s">
        <v>38</v>
      </c>
      <c r="B146" s="430">
        <f>C146+D146</f>
        <v>0</v>
      </c>
      <c r="C146" s="62">
        <f>IF(AND($B$7&gt;2,D133&gt;0,C133=0,SUM(D131:$I$131)&lt;D141),0,IF(AND(C10="nur Mehrbedarf",C141&lt;C131+C150),0,IF(AND(C10="nur Mehrbedarf",C144&gt;C150),C144-C150,IF(AND(C10="nein",C144&gt;0),C144,IF(AND(C10="nur Mehrbedarf",C144=0),0,IF(AND(C10="nein",C144=0),0,C141))))))</f>
        <v>0</v>
      </c>
      <c r="D146" s="62">
        <f>IF(AND($B$7&gt;2,C133&gt;0,D133=0,C131+SUM($E$131:$I$131)&lt;C141),0,IF(AND(D10="nur Mehrbedarf",D141&lt;D131+D150),0,IF(AND(D10="nur Mehrbedarf",D144&gt;D150),D144-D150,IF(AND(D10="nein",D144&gt;0),D144,IF(AND(D10="nur Mehrbedarf",D144=0),0,IF(AND(D10="nein",D144=0),0,D141))))))</f>
        <v>0</v>
      </c>
      <c r="E146" s="306"/>
      <c r="F146" s="306"/>
      <c r="G146" s="306"/>
      <c r="H146" s="306"/>
      <c r="I146" s="434"/>
    </row>
    <row r="147" spans="1:12" ht="17.25" hidden="1" customHeight="1">
      <c r="A147" s="435"/>
      <c r="B147" s="298">
        <f t="shared" ref="B147:B151" si="19">SUM(C147:I147)</f>
        <v>0</v>
      </c>
      <c r="C147" s="62">
        <f>IF(AND($B$133=0,D131=0),C146,IF(AND($B$133=0,D146&gt;0,C131&gt;0),D146,IF(AND($B$7&gt;2,C133=0,D133=0,D146+C145&lt;C131),D146,IF(AND($B$7&gt;2,C133=0,D133=0,D146+C145&gt;C131),C131+D131-B145,IF(AND($B$7=2,C133&gt;0,D10="nur Mehrbedarf",D150+D131&gt;D141,C141&gt;C131),C131,$B$146*C133)))))</f>
        <v>0</v>
      </c>
      <c r="D147" s="62">
        <f>IF(AND($B$133=0,C131=0),D146,IF(AND($B$133=0,C146&gt;0,D131&gt;0),C146,IF(AND($B$7&gt;2,D131&gt;0,D133=0,C133=0,C146+D145&lt;D131),C146,IF(AND(B7&gt;2,D131&gt;0,C133=0,D133=0,C146+D145&gt;D131),C131+D131-B145,IF(AND($B$7=2,C10="nur Mehrbedarf",D133&gt;0,C150+C131&gt;C141,D141&gt;D131),D131,$B$146*D133)))))</f>
        <v>0</v>
      </c>
      <c r="E147" s="62">
        <f>IF(AND($C$150&gt;0,$C$146=0,$B$146*E133&gt;E131,$D$146&lt;$D$131+SUM($E$131:$I$131)),E131,IF(AND($D$150&gt;0,$D$146=0,$B$146*E133&gt;E131,$C$146&lt;$C$131+SUM($E$131:$I$131)),E131,IF(AND($B$7&gt;2,$C$133=0,$D$133=0,$C$131+$D$131&gt;$B$141),0,IF(AND($B$7&gt;2,E131&gt;0,$C$133=0,$D$133=0,$C$131+$D$131&lt;$B$141),($B$141-($C$131+$D$131))*E133,$B$146*E133))))</f>
        <v>0</v>
      </c>
      <c r="F147" s="62">
        <f t="shared" ref="F147:I147" si="20">IF(AND($C$150&gt;0,$C$146=0,$B$146*F133&gt;F131,$D$146&lt;$D$131+SUM($E$131:$I$131)),F131,IF(AND($D$150&gt;0,$D$146=0,$B$146*F133&gt;F131,$C$146&lt;$C$131+SUM($E$131:$I$131)),F131,IF(AND($B$7&gt;2,$C$133=0,$D$133=0,$C$131+$D$131&gt;$B$141),0,IF(AND($B$7&gt;2,F131&gt;0,$C$133=0,$D$133=0,$C$131+$D$131&lt;$B$141),($B$141-($C$131+$D$131))*F133,$B$146*F133))))</f>
        <v>0</v>
      </c>
      <c r="G147" s="62">
        <f t="shared" si="20"/>
        <v>0</v>
      </c>
      <c r="H147" s="62">
        <f t="shared" si="20"/>
        <v>0</v>
      </c>
      <c r="I147" s="62">
        <f t="shared" si="20"/>
        <v>0</v>
      </c>
    </row>
    <row r="148" spans="1:12" ht="18.75" customHeight="1" thickBot="1">
      <c r="A148" s="245" t="s">
        <v>40</v>
      </c>
      <c r="B148" s="285">
        <f t="shared" si="19"/>
        <v>0</v>
      </c>
      <c r="C148" s="438">
        <f>IF(C147&lt;0,0,IF(AND(C150&gt;0,D146&gt;0,D146&lt;&gt;C147,C146&gt;0,C145&lt;C131+C150),C146+C147,IF(AND(D133&gt;0,C133=0,D146&gt;D147+E147+F147+G147+H147+I147),D146-D147-E147-F147-G147-H147-I147,IF(AND($B$7=2,$B$133=0,C146&gt;0,D146&gt;0),C146,IF(AND($B$7&gt;2,C133+D133=0,C146&gt;0,D146&gt;0),($B$146-E147-F147-G147-H147-I147)*C131/(C131+D131),C147)))))</f>
        <v>0</v>
      </c>
      <c r="D148" s="438">
        <f>IF(D147&lt;0,0,IF(AND(D150&gt;0,C146&gt;0,C146&lt;&gt;D147,D146&gt;0,D145&lt;D131+D150),D146+D147,IF(AND(C133&gt;0,D133=0,C146&gt;C147+E147+F147+G147+H147+I147),C146-C147-E147-F147-G147-H147-I147,IF(AND($B$7=2,$B$133=0,C146&gt;0,D146&gt;0),D146,IF(AND($B$7&gt;2,C133+D133=0,C146&gt;0,D146&gt;0),($B$146-E147-F147-G147-H147-I147)*D131/(C131+D131),D147)))))</f>
        <v>0</v>
      </c>
      <c r="E148" s="436">
        <f>IF(AND($C$147=0,$D$147=0,$B$147&lt;$B$146),$B$146*E133,E147)</f>
        <v>0</v>
      </c>
      <c r="F148" s="436">
        <f>IF(AND($C$147=0,$D$147=0,$B$147&lt;$B$146),$B$146*F133,F147)</f>
        <v>0</v>
      </c>
      <c r="G148" s="436">
        <f>IF(AND($C$147=0,$D$147=0,$B$147&lt;$B$146),$B$146*G133,G147)</f>
        <v>0</v>
      </c>
      <c r="H148" s="436">
        <f>IF(AND($C$147=0,$D$147=0,$B$147&lt;$B$146),$B$146*H133,H147)</f>
        <v>0</v>
      </c>
      <c r="I148" s="437">
        <f>IF(AND($C$147=0,$D$147=0,$B$147&lt;$B$146),$B$146*I133,I147)</f>
        <v>0</v>
      </c>
    </row>
    <row r="149" spans="1:12" ht="19.5" customHeight="1" thickTop="1">
      <c r="A149" s="251" t="s">
        <v>125</v>
      </c>
      <c r="B149" s="297">
        <f t="shared" si="19"/>
        <v>416</v>
      </c>
      <c r="C149" s="297">
        <f>C131-C145-C148</f>
        <v>416</v>
      </c>
      <c r="D149" s="297">
        <f>D131-D145-D148</f>
        <v>0</v>
      </c>
      <c r="E149" s="297">
        <f>E131-E148</f>
        <v>0</v>
      </c>
      <c r="F149" s="297">
        <f>F131-F148</f>
        <v>0</v>
      </c>
      <c r="G149" s="297">
        <f>G131-G148</f>
        <v>0</v>
      </c>
      <c r="H149" s="297">
        <f>H131-H148</f>
        <v>0</v>
      </c>
      <c r="I149" s="329">
        <f>I131-I148</f>
        <v>0</v>
      </c>
    </row>
    <row r="150" spans="1:12" ht="18" customHeight="1">
      <c r="A150" s="247">
        <f>IF(B150&gt;0,"Mehrbedarf nach § 27 (2) SGB II",0)</f>
        <v>0</v>
      </c>
      <c r="B150" s="440">
        <f t="shared" si="19"/>
        <v>0</v>
      </c>
      <c r="C150" s="295">
        <f>IF(C10="nur Mehrbedarf",Zusatzeingaben!C45+Zusatzeingaben!B46+Zusatzeingaben!C93+Zusatzeingaben!C94,0)</f>
        <v>0</v>
      </c>
      <c r="D150" s="295">
        <f>IF(D10="nur Mehrbedarf",Zusatzeingaben!D45+Zusatzeingaben!D93+Zusatzeingaben!D94,0)</f>
        <v>0</v>
      </c>
      <c r="E150" s="62"/>
      <c r="F150" s="62"/>
      <c r="G150" s="62"/>
      <c r="H150" s="62"/>
      <c r="I150" s="110"/>
    </row>
    <row r="151" spans="1:12" ht="17.25" customHeight="1">
      <c r="A151" s="721">
        <f>IF(B151&gt;0,"./. Überschuss",0)</f>
        <v>0</v>
      </c>
      <c r="B151" s="430">
        <f t="shared" si="19"/>
        <v>0</v>
      </c>
      <c r="C151" s="62">
        <f>IF(AND(C10="nur Mehrbedarf",$B$149&lt;0,D149&lt;0),$B$149*-1,IF(AND(C10="nur Mehrbedarf",$B$149&lt;0,$E$149&lt;0),$B$149*-1,IF(AND(C10="nur Mehrbedarf",D149&gt;=0,C149&lt;0),C149*-1,0)))</f>
        <v>0</v>
      </c>
      <c r="D151" s="62">
        <f>IF(AND(D10="nur Mehrbedarf",$B$149&lt;0,C149&lt;0),$B$149*-1,IF(AND(D10="nur Mehrbedarf",$B$149&lt;0,$E$149&lt;0),$B$149*-1,IF(AND(D10="nur Mehrbedarf",C149&gt;=0,D149&lt;0),D149*-1,0)))</f>
        <v>0</v>
      </c>
      <c r="E151" s="62"/>
      <c r="F151" s="62"/>
      <c r="G151" s="62"/>
      <c r="H151" s="62"/>
      <c r="I151" s="110"/>
    </row>
    <row r="152" spans="1:12" ht="17.25" hidden="1" customHeight="1">
      <c r="A152" s="722"/>
      <c r="B152" s="720"/>
      <c r="C152" s="668">
        <f>C149-C157</f>
        <v>416</v>
      </c>
      <c r="D152" s="668">
        <f t="shared" ref="D152:I152" si="21">D149-D157</f>
        <v>0</v>
      </c>
      <c r="E152" s="668">
        <f t="shared" si="21"/>
        <v>0</v>
      </c>
      <c r="F152" s="668">
        <f t="shared" si="21"/>
        <v>0</v>
      </c>
      <c r="G152" s="668">
        <f t="shared" si="21"/>
        <v>0</v>
      </c>
      <c r="H152" s="668">
        <f t="shared" si="21"/>
        <v>0</v>
      </c>
      <c r="I152" s="669">
        <f t="shared" si="21"/>
        <v>0</v>
      </c>
    </row>
    <row r="153" spans="1:12" ht="17.25" hidden="1" customHeight="1">
      <c r="A153" s="224"/>
      <c r="B153" s="62"/>
      <c r="C153" s="668">
        <f>IF(Zusatzeingaben!C221="einmal",C11*10%,IF(Zusatzeingaben!C221="zweimal",C11*20%,IF(Zusatzeingaben!C221="dreimal",C11*30%,0)))</f>
        <v>0</v>
      </c>
      <c r="D153" s="668">
        <f>IF(Zusatzeingaben!D221="einmal",D11*10%,IF(Zusatzeingaben!D221="zweimal",D11*20%,IF(Zusatzeingaben!D221="dreimal",D11*30%,0)))</f>
        <v>0</v>
      </c>
      <c r="E153" s="668">
        <f>IF(Zusatzeingaben!E221="einmal",E11*10%,IF(Zusatzeingaben!E221="zweimal",E11*20%,IF(Zusatzeingaben!E221="dreimal",E11*30%,0)))</f>
        <v>0</v>
      </c>
      <c r="F153" s="668">
        <f>IF(Zusatzeingaben!F221="einmal",F11*10%,IF(Zusatzeingaben!F221="zweimal",F11*20%,IF(Zusatzeingaben!F221="dreimal",F11*30%,0)))</f>
        <v>0</v>
      </c>
      <c r="G153" s="668">
        <f>IF(Zusatzeingaben!G221="einmal",G11*10%,IF(Zusatzeingaben!G221="zweimal",G11*20%,IF(Zusatzeingaben!G221="dreimal",G11*30%,0)))</f>
        <v>0</v>
      </c>
      <c r="H153" s="668">
        <f>IF(Zusatzeingaben!H221="einmal",H11*10%,IF(Zusatzeingaben!H221="zweimal",H11*20%,IF(Zusatzeingaben!H221="dreimal",H11*30%,0)))</f>
        <v>0</v>
      </c>
      <c r="I153" s="669">
        <f>IF(Zusatzeingaben!I221="einmal",I11*10%,IF(Zusatzeingaben!I221="zweimal",I11*20%,IF(Zusatzeingaben!I221="dreimal",I11*30%,0)))</f>
        <v>0</v>
      </c>
    </row>
    <row r="154" spans="1:12" ht="17.25" hidden="1" customHeight="1">
      <c r="A154" s="722"/>
      <c r="B154" s="62"/>
      <c r="C154" s="62">
        <f t="shared" ref="C154:I154" si="22">IF(C152&gt;C149,C149,C152)</f>
        <v>416</v>
      </c>
      <c r="D154" s="62">
        <f t="shared" si="22"/>
        <v>0</v>
      </c>
      <c r="E154" s="62">
        <f t="shared" si="22"/>
        <v>0</v>
      </c>
      <c r="F154" s="62">
        <f t="shared" si="22"/>
        <v>0</v>
      </c>
      <c r="G154" s="62">
        <f t="shared" si="22"/>
        <v>0</v>
      </c>
      <c r="H154" s="62">
        <f t="shared" si="22"/>
        <v>0</v>
      </c>
      <c r="I154" s="110">
        <f t="shared" si="22"/>
        <v>0</v>
      </c>
    </row>
    <row r="155" spans="1:12" ht="17.25" customHeight="1">
      <c r="A155" s="721">
        <f>IF(B155&gt;0,"./. Minderung Meldeversäumnis",0)</f>
        <v>0</v>
      </c>
      <c r="B155" s="284">
        <f>SUM(C155:I155)</f>
        <v>0</v>
      </c>
      <c r="C155" s="62">
        <f>IF(OR(C149&lt;0,C153=0),0,MIN(C154,C153))</f>
        <v>0</v>
      </c>
      <c r="D155" s="62">
        <f t="shared" ref="D155:I155" si="23">IF(OR(D149&lt;0,D153=0),0,MIN(D154,D153))</f>
        <v>0</v>
      </c>
      <c r="E155" s="62">
        <f t="shared" si="23"/>
        <v>0</v>
      </c>
      <c r="F155" s="62">
        <f t="shared" si="23"/>
        <v>0</v>
      </c>
      <c r="G155" s="62">
        <f t="shared" si="23"/>
        <v>0</v>
      </c>
      <c r="H155" s="62">
        <f t="shared" si="23"/>
        <v>0</v>
      </c>
      <c r="I155" s="110">
        <f t="shared" si="23"/>
        <v>0</v>
      </c>
    </row>
    <row r="156" spans="1:12" ht="17.25" hidden="1" customHeight="1">
      <c r="A156" s="411"/>
      <c r="B156" s="719"/>
      <c r="C156" s="132">
        <f>Zusatzeingaben!C225</f>
        <v>0</v>
      </c>
      <c r="D156" s="132">
        <f>Zusatzeingaben!D225</f>
        <v>0</v>
      </c>
      <c r="E156" s="132">
        <f>Zusatzeingaben!E225</f>
        <v>0</v>
      </c>
      <c r="F156" s="132">
        <f>Zusatzeingaben!F225</f>
        <v>0</v>
      </c>
      <c r="G156" s="132">
        <f>Zusatzeingaben!G225</f>
        <v>0</v>
      </c>
      <c r="H156" s="132">
        <f>Zusatzeingaben!H225</f>
        <v>0</v>
      </c>
      <c r="I156" s="133">
        <f>Zusatzeingaben!I225</f>
        <v>0</v>
      </c>
    </row>
    <row r="157" spans="1:12" ht="17.25" hidden="1" customHeight="1">
      <c r="A157" s="408"/>
      <c r="B157" s="429"/>
      <c r="C157" s="668">
        <f t="shared" ref="C157:I157" si="24">IF(C156&gt;C149,C149,C156)</f>
        <v>0</v>
      </c>
      <c r="D157" s="668">
        <f t="shared" si="24"/>
        <v>0</v>
      </c>
      <c r="E157" s="668">
        <f t="shared" si="24"/>
        <v>0</v>
      </c>
      <c r="F157" s="668">
        <f t="shared" si="24"/>
        <v>0</v>
      </c>
      <c r="G157" s="668">
        <f t="shared" si="24"/>
        <v>0</v>
      </c>
      <c r="H157" s="668">
        <f t="shared" si="24"/>
        <v>0</v>
      </c>
      <c r="I157" s="669">
        <f t="shared" si="24"/>
        <v>0</v>
      </c>
    </row>
    <row r="158" spans="1:12" ht="18" customHeight="1" thickBot="1">
      <c r="A158" s="670">
        <f>IF(B158&gt;0,"./. Minderung Pflichtverletzung",0)</f>
        <v>0</v>
      </c>
      <c r="B158" s="671">
        <f>SUM(C158:I158)</f>
        <v>0</v>
      </c>
      <c r="C158" s="672">
        <f>IF(C157&lt;0,0,C157)</f>
        <v>0</v>
      </c>
      <c r="D158" s="286">
        <f t="shared" ref="D158:I158" si="25">IF(D157&lt;0,0,D157)</f>
        <v>0</v>
      </c>
      <c r="E158" s="286">
        <f t="shared" si="25"/>
        <v>0</v>
      </c>
      <c r="F158" s="286">
        <f t="shared" si="25"/>
        <v>0</v>
      </c>
      <c r="G158" s="286">
        <f t="shared" si="25"/>
        <v>0</v>
      </c>
      <c r="H158" s="286">
        <f t="shared" si="25"/>
        <v>0</v>
      </c>
      <c r="I158" s="287">
        <f t="shared" si="25"/>
        <v>0</v>
      </c>
    </row>
    <row r="159" spans="1:12" s="212" customFormat="1" ht="16.5" hidden="1" customHeight="1" thickTop="1">
      <c r="A159" s="253"/>
      <c r="B159" s="213"/>
      <c r="C159" s="214">
        <f>IF(C10="nur Mehrbedarf",C150-C151,0)</f>
        <v>0</v>
      </c>
      <c r="D159" s="214">
        <f>IF(D10="nur Mehrbedarf",D150-D151,0)</f>
        <v>0</v>
      </c>
      <c r="E159" s="214"/>
      <c r="F159" s="214"/>
      <c r="G159" s="214"/>
      <c r="H159" s="214"/>
      <c r="I159" s="254"/>
      <c r="K159" s="424"/>
      <c r="L159" s="424"/>
    </row>
    <row r="160" spans="1:12" ht="17.25" hidden="1" customHeight="1">
      <c r="A160" s="431"/>
      <c r="B160" s="429">
        <f>SUM(C160:I160)</f>
        <v>416</v>
      </c>
      <c r="C160" s="429">
        <f>IF(C10="nur Mehrbedarf",C159,C149-C155-C158)</f>
        <v>416</v>
      </c>
      <c r="D160" s="429">
        <f t="shared" ref="D160:I160" si="26">IF(D10="nur Mehrbedarf",D159,D149-D155-D158)</f>
        <v>0</v>
      </c>
      <c r="E160" s="429">
        <f t="shared" si="26"/>
        <v>0</v>
      </c>
      <c r="F160" s="429">
        <f t="shared" si="26"/>
        <v>0</v>
      </c>
      <c r="G160" s="429">
        <f t="shared" si="26"/>
        <v>0</v>
      </c>
      <c r="H160" s="429">
        <f t="shared" si="26"/>
        <v>0</v>
      </c>
      <c r="I160" s="429">
        <f t="shared" si="26"/>
        <v>0</v>
      </c>
    </row>
    <row r="161" spans="1:9" ht="24" customHeight="1" thickTop="1" thickBot="1">
      <c r="A161" s="332" t="s">
        <v>27</v>
      </c>
      <c r="B161" s="427">
        <f>SUM(C161:I161)</f>
        <v>416</v>
      </c>
      <c r="C161" s="427">
        <f t="shared" ref="C161:I161" si="27">IF(C10="nein",0,IF(C160&lt;0,0,C160))</f>
        <v>416</v>
      </c>
      <c r="D161" s="427">
        <f t="shared" si="27"/>
        <v>0</v>
      </c>
      <c r="E161" s="427">
        <f t="shared" si="27"/>
        <v>0</v>
      </c>
      <c r="F161" s="427">
        <f t="shared" si="27"/>
        <v>0</v>
      </c>
      <c r="G161" s="427">
        <f t="shared" si="27"/>
        <v>0</v>
      </c>
      <c r="H161" s="427">
        <f t="shared" si="27"/>
        <v>0</v>
      </c>
      <c r="I161" s="428">
        <f t="shared" si="27"/>
        <v>0</v>
      </c>
    </row>
    <row r="162" spans="1:9" ht="15.75" customHeight="1">
      <c r="A162" s="647"/>
    </row>
    <row r="163" spans="1:9" ht="14.25" hidden="1" customHeight="1"/>
    <row r="164" spans="1:9" ht="20.25">
      <c r="A164" s="335"/>
      <c r="B164" s="330"/>
      <c r="C164" s="661">
        <f>C149-C47</f>
        <v>416</v>
      </c>
      <c r="D164" s="661">
        <f t="shared" ref="D164:I164" si="28">D149-D47</f>
        <v>0</v>
      </c>
      <c r="E164" s="661">
        <f t="shared" si="28"/>
        <v>0</v>
      </c>
      <c r="F164" s="661">
        <f t="shared" si="28"/>
        <v>0</v>
      </c>
      <c r="G164" s="661">
        <f t="shared" si="28"/>
        <v>0</v>
      </c>
      <c r="H164" s="661">
        <f t="shared" si="28"/>
        <v>0</v>
      </c>
      <c r="I164" s="661">
        <f t="shared" si="28"/>
        <v>0</v>
      </c>
    </row>
    <row r="165" spans="1:9" ht="21" customHeight="1" thickBot="1">
      <c r="A165" s="336"/>
      <c r="B165" s="337"/>
      <c r="C165" s="337"/>
      <c r="D165" s="337"/>
      <c r="E165" s="337"/>
      <c r="F165" s="337"/>
      <c r="G165" s="337"/>
      <c r="H165" s="337"/>
      <c r="I165" s="337"/>
    </row>
    <row r="166" spans="1:9" ht="21" customHeight="1">
      <c r="A166" s="444" t="s">
        <v>130</v>
      </c>
      <c r="B166" s="236"/>
      <c r="C166" s="445"/>
      <c r="D166" s="445"/>
      <c r="E166" s="445"/>
      <c r="F166" s="445"/>
      <c r="G166" s="445"/>
      <c r="H166" s="445"/>
      <c r="I166" s="446"/>
    </row>
    <row r="167" spans="1:9" ht="18.75" customHeight="1">
      <c r="A167" s="224"/>
      <c r="B167" s="341" t="s">
        <v>1</v>
      </c>
      <c r="C167" s="341" t="str">
        <f>Zusatzeingaben!C4</f>
        <v>Antragsteller</v>
      </c>
      <c r="D167" s="341" t="str">
        <f>Zusatzeingaben!D4</f>
        <v>Partner(in)</v>
      </c>
      <c r="E167" s="341" t="str">
        <f>Zusatzeingaben!E4</f>
        <v>Kind 1</v>
      </c>
      <c r="F167" s="341" t="str">
        <f>Zusatzeingaben!F4</f>
        <v>Kind 2</v>
      </c>
      <c r="G167" s="341" t="str">
        <f>Zusatzeingaben!G4</f>
        <v>Kind 3</v>
      </c>
      <c r="H167" s="341" t="str">
        <f>Zusatzeingaben!H4</f>
        <v>Kind 4</v>
      </c>
      <c r="I167" s="342" t="str">
        <f>Zusatzeingaben!I4</f>
        <v>Kind 5</v>
      </c>
    </row>
    <row r="168" spans="1:9" ht="18.75" hidden="1" customHeight="1">
      <c r="A168" s="224"/>
      <c r="B168" s="447"/>
      <c r="C168" s="448">
        <f t="shared" ref="C168:I168" si="29">IF(C10="ja",C11+C13+C14+C15+C16+C17+C18+C19,0)</f>
        <v>416</v>
      </c>
      <c r="D168" s="448">
        <f t="shared" si="29"/>
        <v>0</v>
      </c>
      <c r="E168" s="448">
        <f t="shared" si="29"/>
        <v>0</v>
      </c>
      <c r="F168" s="448">
        <f t="shared" si="29"/>
        <v>0</v>
      </c>
      <c r="G168" s="448">
        <f t="shared" si="29"/>
        <v>0</v>
      </c>
      <c r="H168" s="448">
        <f t="shared" si="29"/>
        <v>0</v>
      </c>
      <c r="I168" s="449">
        <f t="shared" si="29"/>
        <v>0</v>
      </c>
    </row>
    <row r="169" spans="1:9" ht="18.75" customHeight="1">
      <c r="A169" s="224" t="s">
        <v>131</v>
      </c>
      <c r="B169" s="284">
        <f>SUM(C169:I169)</f>
        <v>416</v>
      </c>
      <c r="C169" s="295">
        <f t="shared" ref="C169:I169" si="30">IF(C10="ja",C11+C13+C14+C15+C16+C17+C18+C19+C49,IF(C10="nur Mehrbedarf",C161,0))</f>
        <v>416</v>
      </c>
      <c r="D169" s="295">
        <f t="shared" si="30"/>
        <v>0</v>
      </c>
      <c r="E169" s="295">
        <f t="shared" si="30"/>
        <v>0</v>
      </c>
      <c r="F169" s="295">
        <f t="shared" si="30"/>
        <v>0</v>
      </c>
      <c r="G169" s="295">
        <f t="shared" si="30"/>
        <v>0</v>
      </c>
      <c r="H169" s="295">
        <f t="shared" si="30"/>
        <v>0</v>
      </c>
      <c r="I169" s="296">
        <f t="shared" si="30"/>
        <v>0</v>
      </c>
    </row>
    <row r="170" spans="1:9" ht="18.75" customHeight="1">
      <c r="A170" s="450" t="s">
        <v>132</v>
      </c>
      <c r="B170" s="284">
        <f>SUM(C170:I170)</f>
        <v>0</v>
      </c>
      <c r="C170" s="295">
        <f t="shared" ref="C170:I170" si="31">C158</f>
        <v>0</v>
      </c>
      <c r="D170" s="295">
        <f t="shared" si="31"/>
        <v>0</v>
      </c>
      <c r="E170" s="295">
        <f t="shared" si="31"/>
        <v>0</v>
      </c>
      <c r="F170" s="295">
        <f t="shared" si="31"/>
        <v>0</v>
      </c>
      <c r="G170" s="295">
        <f t="shared" si="31"/>
        <v>0</v>
      </c>
      <c r="H170" s="295">
        <f t="shared" si="31"/>
        <v>0</v>
      </c>
      <c r="I170" s="296">
        <f t="shared" si="31"/>
        <v>0</v>
      </c>
    </row>
    <row r="171" spans="1:9" ht="19.5" customHeight="1" thickBot="1">
      <c r="A171" s="451" t="s">
        <v>133</v>
      </c>
      <c r="B171" s="285">
        <f>SUM(C171:I171)</f>
        <v>0</v>
      </c>
      <c r="C171" s="312">
        <f>IF(C169=0,0,C148)</f>
        <v>0</v>
      </c>
      <c r="D171" s="312">
        <f>IF(D169=0,0,D148)</f>
        <v>0</v>
      </c>
      <c r="E171" s="312">
        <f>IF(E169=0,0,E128+E148)</f>
        <v>0</v>
      </c>
      <c r="F171" s="312">
        <f>IF(F169=0,0,F128+F148)</f>
        <v>0</v>
      </c>
      <c r="G171" s="312">
        <f>IF(G169=0,0,G128+G148)</f>
        <v>0</v>
      </c>
      <c r="H171" s="312">
        <f>IF(H169=0,0,H128+H148)</f>
        <v>0</v>
      </c>
      <c r="I171" s="313">
        <f>IF(I169=0,0,I128+I148)</f>
        <v>0</v>
      </c>
    </row>
    <row r="172" spans="1:9" ht="21" hidden="1" customHeight="1">
      <c r="A172" s="243"/>
      <c r="B172" s="137"/>
      <c r="C172" s="452">
        <f t="shared" ref="C172:I172" si="32">IF(C168=0,0,C148)</f>
        <v>0</v>
      </c>
      <c r="D172" s="452">
        <f t="shared" si="32"/>
        <v>0</v>
      </c>
      <c r="E172" s="452">
        <f t="shared" si="32"/>
        <v>0</v>
      </c>
      <c r="F172" s="452">
        <f t="shared" si="32"/>
        <v>0</v>
      </c>
      <c r="G172" s="452">
        <f t="shared" si="32"/>
        <v>0</v>
      </c>
      <c r="H172" s="452">
        <f t="shared" si="32"/>
        <v>0</v>
      </c>
      <c r="I172" s="453">
        <f t="shared" si="32"/>
        <v>0</v>
      </c>
    </row>
    <row r="173" spans="1:9" ht="21" hidden="1" customHeight="1">
      <c r="A173" s="243"/>
      <c r="B173" s="137"/>
      <c r="C173" s="137">
        <f>C169-C170-C171</f>
        <v>416</v>
      </c>
      <c r="D173" s="137">
        <f t="shared" ref="D173:I173" si="33">D169-D170-D171</f>
        <v>0</v>
      </c>
      <c r="E173" s="137">
        <f t="shared" si="33"/>
        <v>0</v>
      </c>
      <c r="F173" s="137">
        <f t="shared" si="33"/>
        <v>0</v>
      </c>
      <c r="G173" s="137">
        <f t="shared" si="33"/>
        <v>0</v>
      </c>
      <c r="H173" s="137">
        <f t="shared" si="33"/>
        <v>0</v>
      </c>
      <c r="I173" s="175">
        <f t="shared" si="33"/>
        <v>0</v>
      </c>
    </row>
    <row r="174" spans="1:9" ht="21" hidden="1" customHeight="1">
      <c r="A174" s="243"/>
      <c r="B174" s="137"/>
      <c r="C174" s="454">
        <f>C168-C172</f>
        <v>416</v>
      </c>
      <c r="D174" s="454">
        <f t="shared" ref="D174:I174" si="34">D168-D171</f>
        <v>0</v>
      </c>
      <c r="E174" s="454">
        <f t="shared" si="34"/>
        <v>0</v>
      </c>
      <c r="F174" s="454">
        <f t="shared" si="34"/>
        <v>0</v>
      </c>
      <c r="G174" s="454">
        <f t="shared" si="34"/>
        <v>0</v>
      </c>
      <c r="H174" s="454">
        <f t="shared" si="34"/>
        <v>0</v>
      </c>
      <c r="I174" s="455">
        <f t="shared" si="34"/>
        <v>0</v>
      </c>
    </row>
    <row r="175" spans="1:9" ht="21" customHeight="1" thickTop="1" thickBot="1">
      <c r="A175" s="456" t="s">
        <v>134</v>
      </c>
      <c r="B175" s="457">
        <f>SUM(C175:I175)</f>
        <v>416</v>
      </c>
      <c r="C175" s="457">
        <f t="shared" ref="C175:I176" si="35">IF(C173&lt;0,0,C173)</f>
        <v>416</v>
      </c>
      <c r="D175" s="457">
        <f t="shared" si="35"/>
        <v>0</v>
      </c>
      <c r="E175" s="457">
        <f t="shared" si="35"/>
        <v>0</v>
      </c>
      <c r="F175" s="457">
        <f t="shared" si="35"/>
        <v>0</v>
      </c>
      <c r="G175" s="457">
        <f t="shared" si="35"/>
        <v>0</v>
      </c>
      <c r="H175" s="457">
        <f t="shared" si="35"/>
        <v>0</v>
      </c>
      <c r="I175" s="458">
        <f t="shared" si="35"/>
        <v>0</v>
      </c>
    </row>
    <row r="176" spans="1:9" ht="21" hidden="1" customHeight="1">
      <c r="A176" s="459"/>
      <c r="B176" s="337"/>
      <c r="C176" s="460">
        <f t="shared" si="35"/>
        <v>416</v>
      </c>
      <c r="D176" s="460">
        <f t="shared" si="35"/>
        <v>0</v>
      </c>
      <c r="E176" s="460">
        <f t="shared" si="35"/>
        <v>0</v>
      </c>
      <c r="F176" s="460">
        <f t="shared" si="35"/>
        <v>0</v>
      </c>
      <c r="G176" s="460">
        <f t="shared" si="35"/>
        <v>0</v>
      </c>
      <c r="H176" s="460">
        <f t="shared" si="35"/>
        <v>0</v>
      </c>
      <c r="I176" s="461">
        <f t="shared" si="35"/>
        <v>0</v>
      </c>
    </row>
    <row r="177" spans="1:9" ht="21" customHeight="1" thickBot="1">
      <c r="A177" s="462" t="s">
        <v>154</v>
      </c>
      <c r="B177" s="463"/>
      <c r="C177" s="464">
        <f t="shared" ref="C177:I178" si="36">IF(C173&lt;0,C173,0)*-1</f>
        <v>0</v>
      </c>
      <c r="D177" s="464">
        <f t="shared" si="36"/>
        <v>0</v>
      </c>
      <c r="E177" s="464">
        <f t="shared" si="36"/>
        <v>0</v>
      </c>
      <c r="F177" s="464">
        <f t="shared" si="36"/>
        <v>0</v>
      </c>
      <c r="G177" s="464">
        <f t="shared" si="36"/>
        <v>0</v>
      </c>
      <c r="H177" s="464">
        <f t="shared" si="36"/>
        <v>0</v>
      </c>
      <c r="I177" s="465">
        <f t="shared" si="36"/>
        <v>0</v>
      </c>
    </row>
    <row r="178" spans="1:9" ht="21" hidden="1" customHeight="1">
      <c r="A178" s="243"/>
      <c r="B178" s="320"/>
      <c r="C178" s="466">
        <f t="shared" si="36"/>
        <v>0</v>
      </c>
      <c r="D178" s="466">
        <f t="shared" si="36"/>
        <v>0</v>
      </c>
      <c r="E178" s="466">
        <f t="shared" si="36"/>
        <v>0</v>
      </c>
      <c r="F178" s="466">
        <f t="shared" si="36"/>
        <v>0</v>
      </c>
      <c r="G178" s="466">
        <f t="shared" si="36"/>
        <v>0</v>
      </c>
      <c r="H178" s="466">
        <f t="shared" si="36"/>
        <v>0</v>
      </c>
      <c r="I178" s="467">
        <f t="shared" si="36"/>
        <v>0</v>
      </c>
    </row>
    <row r="179" spans="1:9" ht="21" customHeight="1">
      <c r="A179" s="468" t="s">
        <v>135</v>
      </c>
      <c r="B179" s="297">
        <f>SUM(C179:I179)</f>
        <v>0</v>
      </c>
      <c r="C179" s="469">
        <f t="shared" ref="C179:I179" si="37">IF(C10="ja",C47,0)</f>
        <v>0</v>
      </c>
      <c r="D179" s="469">
        <f t="shared" si="37"/>
        <v>0</v>
      </c>
      <c r="E179" s="469">
        <f t="shared" si="37"/>
        <v>0</v>
      </c>
      <c r="F179" s="469">
        <f t="shared" si="37"/>
        <v>0</v>
      </c>
      <c r="G179" s="469">
        <f t="shared" si="37"/>
        <v>0</v>
      </c>
      <c r="H179" s="469">
        <f t="shared" si="37"/>
        <v>0</v>
      </c>
      <c r="I179" s="470">
        <f t="shared" si="37"/>
        <v>0</v>
      </c>
    </row>
    <row r="180" spans="1:9" ht="21" customHeight="1" thickBot="1">
      <c r="A180" s="451" t="s">
        <v>136</v>
      </c>
      <c r="B180" s="471">
        <f>SUM(C180:I180)</f>
        <v>0</v>
      </c>
      <c r="C180" s="312">
        <f t="shared" ref="C180:I180" si="38">IF(C179&lt;C177,C179,C177)</f>
        <v>0</v>
      </c>
      <c r="D180" s="312">
        <f t="shared" si="38"/>
        <v>0</v>
      </c>
      <c r="E180" s="312">
        <f t="shared" si="38"/>
        <v>0</v>
      </c>
      <c r="F180" s="312">
        <f t="shared" si="38"/>
        <v>0</v>
      </c>
      <c r="G180" s="312">
        <f t="shared" si="38"/>
        <v>0</v>
      </c>
      <c r="H180" s="312">
        <f t="shared" si="38"/>
        <v>0</v>
      </c>
      <c r="I180" s="313">
        <f t="shared" si="38"/>
        <v>0</v>
      </c>
    </row>
    <row r="181" spans="1:9" ht="21" hidden="1" customHeight="1">
      <c r="A181" s="262"/>
      <c r="B181" s="320"/>
      <c r="C181" s="472">
        <f>IF(C179&lt;C178,C179,C178)</f>
        <v>0</v>
      </c>
      <c r="D181" s="472">
        <f t="shared" ref="D181:I181" si="39">IF(D179&lt;D178,D179,D178)</f>
        <v>0</v>
      </c>
      <c r="E181" s="472">
        <f t="shared" si="39"/>
        <v>0</v>
      </c>
      <c r="F181" s="472">
        <f t="shared" si="39"/>
        <v>0</v>
      </c>
      <c r="G181" s="472">
        <f t="shared" si="39"/>
        <v>0</v>
      </c>
      <c r="H181" s="472">
        <f t="shared" si="39"/>
        <v>0</v>
      </c>
      <c r="I181" s="473">
        <f t="shared" si="39"/>
        <v>0</v>
      </c>
    </row>
    <row r="182" spans="1:9" ht="21" hidden="1" customHeight="1">
      <c r="A182" s="262"/>
      <c r="B182" s="320"/>
      <c r="C182" s="474">
        <f>C179-C181</f>
        <v>0</v>
      </c>
      <c r="D182" s="474">
        <f t="shared" ref="D182:I182" si="40">D179-D181</f>
        <v>0</v>
      </c>
      <c r="E182" s="474">
        <f t="shared" si="40"/>
        <v>0</v>
      </c>
      <c r="F182" s="474">
        <f t="shared" si="40"/>
        <v>0</v>
      </c>
      <c r="G182" s="474">
        <f t="shared" si="40"/>
        <v>0</v>
      </c>
      <c r="H182" s="474">
        <f t="shared" si="40"/>
        <v>0</v>
      </c>
      <c r="I182" s="475">
        <f t="shared" si="40"/>
        <v>0</v>
      </c>
    </row>
    <row r="183" spans="1:9" ht="21" customHeight="1" thickTop="1" thickBot="1">
      <c r="A183" s="476" t="s">
        <v>137</v>
      </c>
      <c r="B183" s="477">
        <f>SUM(C183:I183)</f>
        <v>0</v>
      </c>
      <c r="C183" s="478">
        <f>IF(C180&lt;0,C179,C179-C180)</f>
        <v>0</v>
      </c>
      <c r="D183" s="478">
        <f t="shared" ref="D183:I183" si="41">IF(D180&lt;0,D179,D179-D180)</f>
        <v>0</v>
      </c>
      <c r="E183" s="478">
        <f t="shared" si="41"/>
        <v>0</v>
      </c>
      <c r="F183" s="478">
        <f t="shared" si="41"/>
        <v>0</v>
      </c>
      <c r="G183" s="478">
        <f t="shared" si="41"/>
        <v>0</v>
      </c>
      <c r="H183" s="478">
        <f t="shared" si="41"/>
        <v>0</v>
      </c>
      <c r="I183" s="479">
        <f t="shared" si="41"/>
        <v>0</v>
      </c>
    </row>
    <row r="184" spans="1:9" ht="18" customHeight="1">
      <c r="A184" s="336"/>
      <c r="B184" s="337"/>
      <c r="C184" s="337"/>
      <c r="D184" s="337"/>
      <c r="E184" s="337"/>
      <c r="F184" s="337"/>
      <c r="G184" s="337"/>
      <c r="H184" s="337"/>
      <c r="I184" s="337"/>
    </row>
    <row r="186" spans="1:9" ht="18.75" customHeight="1"/>
    <row r="187" spans="1:9">
      <c r="A187" s="608" t="s">
        <v>114</v>
      </c>
      <c r="B187" s="609"/>
      <c r="C187" s="327"/>
      <c r="D187" s="327"/>
      <c r="F187" s="216"/>
      <c r="G187" s="217"/>
      <c r="H187" s="217"/>
      <c r="I187" s="217"/>
    </row>
    <row r="188" spans="1:9">
      <c r="A188" s="327" t="s">
        <v>45</v>
      </c>
      <c r="B188" s="612">
        <f>IF(AND(C$58=0,C$54&lt;=100),0,IF(AND(C$58=0,C$54&lt;=1000),C$54-100,IF(AND(C$58=0,C$54&gt;1000),1000-100,IF(AND(C$58&gt;0,C$54+C$58&lt;=100),0,IF(AND(C$58&gt;0,C$58+C$54&lt;=1000),C$58+C$54-100,IF(AND(C$58&gt;0,C$58+C$54&gt;1000),1000-100))))))</f>
        <v>0</v>
      </c>
      <c r="C188" s="327" t="s">
        <v>28</v>
      </c>
      <c r="D188" s="137">
        <f>B188*20/100</f>
        <v>0</v>
      </c>
      <c r="F188" s="217"/>
      <c r="G188" s="217"/>
      <c r="H188" s="217"/>
      <c r="I188" s="215"/>
    </row>
    <row r="189" spans="1:9">
      <c r="A189" s="327" t="s">
        <v>159</v>
      </c>
      <c r="B189" s="137">
        <f>IF(C$54+C$58&lt;1000.01,0,IF(AND(C$54+C$58&gt;1000,C$54+C$58&lt;=1200),C$54+C$58-1000,IF(AND(C$54+C$58&gt;1200,C8="ja",C$54+C$58&lt;=1500),C$54+C$58-1000,IF(AND(C$54+C$58&gt;1200,C8="nein",C$54+C$58&lt;=1500),1200-1000,IF(AND(C$54+C$58&gt;=1500,C8="ja"),1500-1000,IF(AND(C$54+C$58&gt;1500,C8="nein"),1200-1000))))))</f>
        <v>0</v>
      </c>
      <c r="C189" s="327" t="s">
        <v>29</v>
      </c>
      <c r="D189" s="137">
        <f>B189*10/100</f>
        <v>0</v>
      </c>
      <c r="F189" s="217"/>
      <c r="G189" s="217"/>
      <c r="H189" s="217"/>
      <c r="I189" s="215"/>
    </row>
    <row r="190" spans="1:9">
      <c r="A190" s="610" t="s">
        <v>30</v>
      </c>
      <c r="B190" s="327"/>
      <c r="C190" s="327"/>
      <c r="D190" s="611">
        <f>SUM(D188:D189)</f>
        <v>0</v>
      </c>
      <c r="F190" s="217"/>
      <c r="G190" s="217"/>
      <c r="H190" s="217"/>
      <c r="I190" s="215"/>
    </row>
    <row r="191" spans="1:9">
      <c r="A191" s="327"/>
      <c r="B191" s="327"/>
      <c r="C191" s="327"/>
      <c r="D191" s="327"/>
      <c r="F191" s="217"/>
      <c r="G191" s="217"/>
      <c r="H191" s="217"/>
      <c r="I191" s="215"/>
    </row>
    <row r="192" spans="1:9">
      <c r="A192" s="608" t="s">
        <v>113</v>
      </c>
      <c r="B192" s="609"/>
      <c r="C192" s="327"/>
      <c r="D192" s="327"/>
      <c r="F192" s="217"/>
      <c r="G192" s="217"/>
      <c r="H192" s="217"/>
      <c r="I192" s="217"/>
    </row>
    <row r="193" spans="1:9">
      <c r="A193" s="327" t="s">
        <v>45</v>
      </c>
      <c r="B193" s="137">
        <f>IF(AND(D$58=0,D$54&lt;=100),0,IF(AND(D$58=0,D$54&lt;=1000),D$54-100,IF(AND(D$58=0,D$54&gt;1000),1000-100,IF(AND(D$58&gt;0,D$54+D$58&lt;=100),0,IF(AND(D$58&gt;0,D$58+D$54&lt;=1000),D$58+D$54-100,IF(AND(D$58&gt;0,D$58+D$54&gt;1000),1000-100))))))</f>
        <v>0</v>
      </c>
      <c r="C193" s="327" t="s">
        <v>28</v>
      </c>
      <c r="D193" s="137">
        <f>B193*20/100</f>
        <v>0</v>
      </c>
      <c r="F193" s="217"/>
      <c r="G193" s="217"/>
      <c r="H193" s="217"/>
      <c r="I193" s="215"/>
    </row>
    <row r="194" spans="1:9">
      <c r="A194" s="327" t="s">
        <v>159</v>
      </c>
      <c r="B194" s="137">
        <f>IF(D$54+D$58&lt;1000.01,0,IF(AND(D$54+D$58&gt;1000,D$54+D$58&lt;=1200),D$54+D$58-1000,IF(AND(D$54+D$58&gt;1200,D$8="ja",D$54+D$58&lt;=1500),D$54+D$58-1000,IF(AND(D$54+D$58&gt;1200,D$8="nein",D$54+D$58&lt;=1500),1200-1000,IF(AND(D$54+D$58&gt;=1500,D$8="ja"),1500-1000,IF(AND(D$54+D$58&gt;1500,D$8="nein"),1200-1000))))))</f>
        <v>0</v>
      </c>
      <c r="C194" s="327" t="s">
        <v>29</v>
      </c>
      <c r="D194" s="137">
        <f>B194*10/100</f>
        <v>0</v>
      </c>
      <c r="F194" s="217"/>
      <c r="G194" s="217"/>
      <c r="H194" s="217"/>
      <c r="I194" s="215"/>
    </row>
    <row r="195" spans="1:9">
      <c r="A195" s="610" t="s">
        <v>30</v>
      </c>
      <c r="B195" s="327"/>
      <c r="C195" s="327"/>
      <c r="D195" s="611">
        <f>SUM(D193:D194)</f>
        <v>0</v>
      </c>
      <c r="F195" s="217"/>
      <c r="G195" s="217"/>
      <c r="H195" s="217"/>
      <c r="I195" s="215"/>
    </row>
    <row r="196" spans="1:9">
      <c r="A196" s="327"/>
      <c r="B196" s="327"/>
      <c r="C196" s="327"/>
      <c r="D196" s="327"/>
      <c r="F196" s="217"/>
      <c r="G196" s="217"/>
      <c r="H196" s="217"/>
      <c r="I196" s="215"/>
    </row>
    <row r="197" spans="1:9">
      <c r="A197" s="608" t="s">
        <v>112</v>
      </c>
      <c r="B197" s="609"/>
      <c r="C197" s="327"/>
      <c r="D197" s="327"/>
      <c r="F197" s="217"/>
      <c r="G197" s="217"/>
      <c r="H197" s="217"/>
      <c r="I197" s="215"/>
    </row>
    <row r="198" spans="1:9">
      <c r="A198" s="327" t="s">
        <v>45</v>
      </c>
      <c r="B198" s="137">
        <f>IF(AND(E$58=0,E$54&lt;=100),0,IF(AND(E$58=0,E$54&lt;=1000),E$54-100,IF(AND(E$58=0,E$54&gt;1000),1000-100,IF(AND(E$58&gt;0,E$54+E$58&lt;=100),0,IF(AND(E$58&gt;0,E$58+E$54&lt;=1000),E$58+E$54-100,IF(AND(E$58&gt;0,E$58+E$54&gt;1000),1000-100))))))</f>
        <v>0</v>
      </c>
      <c r="C198" s="327" t="s">
        <v>28</v>
      </c>
      <c r="D198" s="137">
        <f>B198*20/100</f>
        <v>0</v>
      </c>
    </row>
    <row r="199" spans="1:9">
      <c r="A199" s="327" t="s">
        <v>159</v>
      </c>
      <c r="B199" s="137">
        <f>IF(E$54+E$58&lt;1000.01,0,IF(AND(E$54+E$58&gt;1000,E$54+E$58&lt;=1200),E$54+E$58-1000,IF(E$54+E$58&gt;1200,1200-1000,)))</f>
        <v>0</v>
      </c>
      <c r="C199" s="327" t="s">
        <v>29</v>
      </c>
      <c r="D199" s="137">
        <f>B199*10/100</f>
        <v>0</v>
      </c>
    </row>
    <row r="200" spans="1:9">
      <c r="A200" s="610" t="s">
        <v>30</v>
      </c>
      <c r="B200" s="327"/>
      <c r="C200" s="327"/>
      <c r="D200" s="611">
        <f>SUM(D198:D199)</f>
        <v>0</v>
      </c>
    </row>
    <row r="201" spans="1:9">
      <c r="A201" s="327"/>
      <c r="B201" s="327"/>
      <c r="C201" s="327"/>
      <c r="D201" s="327"/>
    </row>
    <row r="202" spans="1:9">
      <c r="A202" s="608" t="s">
        <v>111</v>
      </c>
      <c r="B202" s="609"/>
      <c r="C202" s="327"/>
      <c r="D202" s="327"/>
    </row>
    <row r="203" spans="1:9">
      <c r="A203" s="327" t="s">
        <v>45</v>
      </c>
      <c r="B203" s="137">
        <f>IF(AND(F$58=0,F$54&lt;=100),0,IF(AND(F$58=0,F$54&lt;=1000),F$54-100,IF(AND(F$58=0,F$54&gt;1000),1000-100,IF(AND(F$58&gt;0,F$54+F$58&lt;=100),0,IF(AND(F$58&gt;0,F$58+F$54&lt;=1000),F$58+F$54-100,IF(AND(F$58&gt;0,F$58+F$54&gt;1000),1000-100))))))</f>
        <v>0</v>
      </c>
      <c r="C203" s="327" t="s">
        <v>28</v>
      </c>
      <c r="D203" s="137">
        <f>B203*20/100</f>
        <v>0</v>
      </c>
    </row>
    <row r="204" spans="1:9">
      <c r="A204" s="327" t="s">
        <v>159</v>
      </c>
      <c r="B204" s="137">
        <f>IF(F$54+F$58&lt;1000.01,0,IF(AND(F$54+F$58&gt;1000,F$54+F$58&lt;=1200),F$54+F$58-1000,IF(F$54+F$58&gt;1200,1200-1000,)))</f>
        <v>0</v>
      </c>
      <c r="C204" s="327" t="s">
        <v>29</v>
      </c>
      <c r="D204" s="137">
        <f>B204*10/100</f>
        <v>0</v>
      </c>
    </row>
    <row r="205" spans="1:9">
      <c r="A205" s="610" t="s">
        <v>30</v>
      </c>
      <c r="B205" s="327"/>
      <c r="C205" s="327"/>
      <c r="D205" s="611">
        <f>SUM(D203:D204)</f>
        <v>0</v>
      </c>
    </row>
    <row r="206" spans="1:9">
      <c r="A206" s="327"/>
      <c r="B206" s="327"/>
      <c r="C206" s="327"/>
      <c r="D206" s="327"/>
    </row>
    <row r="207" spans="1:9">
      <c r="A207" s="608" t="s">
        <v>110</v>
      </c>
      <c r="B207" s="609"/>
      <c r="C207" s="327"/>
      <c r="D207" s="327"/>
    </row>
    <row r="208" spans="1:9">
      <c r="A208" s="327" t="s">
        <v>45</v>
      </c>
      <c r="B208" s="137">
        <f>IF(AND(G$58=0,G$54&lt;=100),0,IF(AND(G$58=0,G$54&lt;=1000),G$54-100,IF(AND(G$58=0,G$54&gt;1000),1000-100,IF(AND(G$58&gt;0,G$54+G$58&lt;=100),0,IF(AND(G$58&gt;0,G$58+G$54&lt;=1000),G$58+G$54-100,IF(AND(G$58&gt;0,G$58+G$54&gt;1000),1000-100))))))</f>
        <v>0</v>
      </c>
      <c r="C208" s="327" t="s">
        <v>28</v>
      </c>
      <c r="D208" s="137">
        <f>B208*20/100</f>
        <v>0</v>
      </c>
    </row>
    <row r="209" spans="1:4">
      <c r="A209" s="327" t="s">
        <v>159</v>
      </c>
      <c r="B209" s="137">
        <f>IF(G$54+G$58&lt;1000.01,0,IF(AND(G$54+G$58&gt;1000,G$54+G$58&lt;=1200),G$54+G$58-1000,IF(G$54+G$58&gt;1200,1200-1000,)))</f>
        <v>0</v>
      </c>
      <c r="C209" s="327" t="s">
        <v>29</v>
      </c>
      <c r="D209" s="137">
        <f>B209*10/100</f>
        <v>0</v>
      </c>
    </row>
    <row r="210" spans="1:4">
      <c r="A210" s="610" t="s">
        <v>30</v>
      </c>
      <c r="B210" s="327"/>
      <c r="C210" s="327"/>
      <c r="D210" s="611">
        <f>SUM(D208:D209)</f>
        <v>0</v>
      </c>
    </row>
    <row r="211" spans="1:4">
      <c r="A211" s="327"/>
      <c r="B211" s="327"/>
      <c r="C211" s="327"/>
      <c r="D211" s="327"/>
    </row>
    <row r="212" spans="1:4">
      <c r="A212" s="608" t="s">
        <v>108</v>
      </c>
      <c r="B212" s="609"/>
      <c r="C212" s="327"/>
      <c r="D212" s="327"/>
    </row>
    <row r="213" spans="1:4">
      <c r="A213" s="327" t="s">
        <v>45</v>
      </c>
      <c r="B213" s="137">
        <f>IF(AND(H$58=0,H$54&lt;=100),0,IF(AND(H$58=0,H$54&lt;=1000),H$54-100,IF(AND(H$58=0,H$54&gt;1000),1000-100,IF(AND(H$58&gt;0,H$54+H$58&lt;=100),0,IF(AND(H$58&gt;0,H$58+H$54&lt;=1000),H$58+H$54-100,IF(AND(H$58&gt;0,H$58+H$54&gt;1000),1000-100))))))</f>
        <v>0</v>
      </c>
      <c r="C213" s="327" t="s">
        <v>28</v>
      </c>
      <c r="D213" s="137">
        <f>B213*20/100</f>
        <v>0</v>
      </c>
    </row>
    <row r="214" spans="1:4">
      <c r="A214" s="327" t="s">
        <v>159</v>
      </c>
      <c r="B214" s="137">
        <f>IF(H$54+H$58&lt;1000.01,0,IF(AND(H$54+H$58&gt;1000,H$54+H$58&lt;=1200),H$54+H$58-1000,IF(H$54+H$58&gt;1200,1200-1000,)))</f>
        <v>0</v>
      </c>
      <c r="C214" s="327" t="s">
        <v>29</v>
      </c>
      <c r="D214" s="137">
        <f>B214*10/100</f>
        <v>0</v>
      </c>
    </row>
    <row r="215" spans="1:4">
      <c r="A215" s="610" t="s">
        <v>30</v>
      </c>
      <c r="B215" s="327"/>
      <c r="C215" s="327"/>
      <c r="D215" s="611">
        <f>SUM(D213:D214)</f>
        <v>0</v>
      </c>
    </row>
    <row r="216" spans="1:4">
      <c r="A216" s="327"/>
      <c r="B216" s="327"/>
      <c r="C216" s="327"/>
      <c r="D216" s="327"/>
    </row>
    <row r="217" spans="1:4">
      <c r="A217" s="608" t="s">
        <v>109</v>
      </c>
      <c r="B217" s="609"/>
      <c r="C217" s="327"/>
      <c r="D217" s="327"/>
    </row>
    <row r="218" spans="1:4">
      <c r="A218" s="327" t="s">
        <v>45</v>
      </c>
      <c r="B218" s="137">
        <f>IF(AND(I$58=0,I$54&lt;=100),0,IF(AND(I$58=0,I$54&lt;=1000),I$54-100,IF(AND(I$58=0,I$54&gt;1000),1000-100,IF(AND(I$58&gt;0,I$54+I$58&lt;=100),0,IF(AND(I$58&gt;0,I$58+I$54&lt;=1000),I$58+I$54-100,IF(AND(I$58&gt;0,I$58+I$54&gt;1000),1000-100))))))</f>
        <v>0</v>
      </c>
      <c r="C218" s="327" t="s">
        <v>28</v>
      </c>
      <c r="D218" s="137">
        <f>B218*20/100</f>
        <v>0</v>
      </c>
    </row>
    <row r="219" spans="1:4">
      <c r="A219" s="327" t="s">
        <v>159</v>
      </c>
      <c r="B219" s="137">
        <f>IF(I$54+I$58&lt;1000.01,0,IF(AND(I$54+I$58&gt;1000,I$54+I$58&lt;=1200),I$54+I$58-1000,IF(I$54+I$58&gt;1200,1200-1000,)))</f>
        <v>0</v>
      </c>
      <c r="C219" s="327" t="s">
        <v>29</v>
      </c>
      <c r="D219" s="137">
        <f>B219*10/100</f>
        <v>0</v>
      </c>
    </row>
    <row r="220" spans="1:4">
      <c r="A220" s="610" t="s">
        <v>30</v>
      </c>
      <c r="B220" s="327"/>
      <c r="C220" s="327"/>
      <c r="D220" s="611">
        <f>SUM(D218:D219)</f>
        <v>0</v>
      </c>
    </row>
    <row r="221" spans="1:4">
      <c r="A221" s="217"/>
      <c r="B221" s="219"/>
      <c r="C221" s="217"/>
      <c r="D221" s="217"/>
    </row>
    <row r="222" spans="1:4">
      <c r="A222" s="217"/>
      <c r="B222" s="215"/>
      <c r="C222" s="217"/>
      <c r="D222" s="215"/>
    </row>
    <row r="223" spans="1:4">
      <c r="A223" s="217"/>
      <c r="B223" s="215"/>
      <c r="C223" s="217"/>
      <c r="D223" s="215"/>
    </row>
    <row r="224" spans="1:4">
      <c r="A224" s="220"/>
      <c r="B224" s="217"/>
      <c r="C224" s="217"/>
      <c r="D224" s="215"/>
    </row>
    <row r="225" spans="1:4">
      <c r="A225" s="217"/>
      <c r="B225" s="217"/>
      <c r="C225" s="217"/>
      <c r="D225" s="217"/>
    </row>
    <row r="226" spans="1:4">
      <c r="A226" s="218"/>
      <c r="B226" s="216"/>
      <c r="C226" s="217"/>
      <c r="D226" s="217"/>
    </row>
    <row r="227" spans="1:4">
      <c r="A227" s="217"/>
      <c r="B227" s="215"/>
      <c r="C227" s="217"/>
      <c r="D227" s="215"/>
    </row>
    <row r="228" spans="1:4">
      <c r="A228" s="217"/>
      <c r="B228" s="215"/>
      <c r="C228" s="217"/>
      <c r="D228" s="215"/>
    </row>
    <row r="229" spans="1:4">
      <c r="A229" s="220"/>
      <c r="B229" s="217"/>
      <c r="C229" s="217"/>
      <c r="D229" s="215"/>
    </row>
    <row r="230" spans="1:4">
      <c r="A230" s="217"/>
      <c r="B230" s="217"/>
      <c r="C230" s="217"/>
      <c r="D230" s="217"/>
    </row>
    <row r="231" spans="1:4">
      <c r="A231" s="218"/>
      <c r="B231" s="216"/>
      <c r="C231" s="217"/>
      <c r="D231" s="217"/>
    </row>
    <row r="232" spans="1:4">
      <c r="A232" s="217"/>
      <c r="B232" s="215"/>
      <c r="C232" s="217"/>
      <c r="D232" s="215"/>
    </row>
    <row r="233" spans="1:4">
      <c r="A233" s="217"/>
      <c r="B233" s="215"/>
      <c r="C233" s="217"/>
      <c r="D233" s="215"/>
    </row>
    <row r="234" spans="1:4">
      <c r="A234" s="220"/>
      <c r="B234" s="217"/>
      <c r="C234" s="217"/>
      <c r="D234" s="215"/>
    </row>
    <row r="235" spans="1:4">
      <c r="A235" s="217"/>
      <c r="B235" s="217"/>
      <c r="C235" s="217"/>
      <c r="D235" s="217"/>
    </row>
    <row r="236" spans="1:4">
      <c r="A236" s="218"/>
      <c r="B236" s="216"/>
      <c r="C236" s="217"/>
      <c r="D236" s="217"/>
    </row>
    <row r="237" spans="1:4">
      <c r="A237" s="217"/>
      <c r="B237" s="215"/>
      <c r="C237" s="217"/>
      <c r="D237" s="215"/>
    </row>
    <row r="238" spans="1:4">
      <c r="A238" s="217"/>
      <c r="B238" s="215"/>
      <c r="C238" s="217"/>
      <c r="D238" s="215"/>
    </row>
    <row r="239" spans="1:4">
      <c r="A239" s="220"/>
      <c r="B239" s="217"/>
      <c r="C239" s="217"/>
      <c r="D239" s="215"/>
    </row>
  </sheetData>
  <sheetProtection sheet="1" objects="1" scenarios="1"/>
  <mergeCells count="1">
    <mergeCell ref="B3:C3"/>
  </mergeCells>
  <conditionalFormatting sqref="C132 D132:D133 D141:D146 C137:C146 E131:I133 D127:I128 A49 C7:I7 C13:I13 B3:C3 C49:I49 C21:I46 C14:C19 C179:I180 C177:I177 C170:I171 D15:I19 C10:I11 C118:I120 C83:I83 C112:I112 C114:I115 C95:I99 C101:I110 C74:I81 C90:I93 C85:I88 C54:I71 D138:I138 C148:I148">
    <cfRule type="cellIs" dxfId="38" priority="12" stopIfTrue="1" operator="equal">
      <formula>0</formula>
    </cfRule>
  </conditionalFormatting>
  <conditionalFormatting sqref="B21:B47 B145:B148 E149:I151 C47:I47 B50:C50 B13:B19 B49 B177:B182 B170:B172 B54:B120">
    <cfRule type="cellIs" dxfId="37" priority="13" stopIfTrue="1" operator="equal">
      <formula>0</formula>
    </cfRule>
  </conditionalFormatting>
  <conditionalFormatting sqref="B165:I165 B175:I175 B183:I184">
    <cfRule type="cellIs" dxfId="36" priority="14" stopIfTrue="1" operator="equal">
      <formula>0</formula>
    </cfRule>
  </conditionalFormatting>
  <conditionalFormatting sqref="A150">
    <cfRule type="cellIs" dxfId="35" priority="15" stopIfTrue="1" operator="equal">
      <formula>"Mehrbedarf nach § 27 (2) SGB II"</formula>
    </cfRule>
  </conditionalFormatting>
  <conditionalFormatting sqref="C150:D151">
    <cfRule type="cellIs" dxfId="34" priority="16" stopIfTrue="1" operator="notEqual">
      <formula>0</formula>
    </cfRule>
  </conditionalFormatting>
  <conditionalFormatting sqref="C161">
    <cfRule type="expression" dxfId="33" priority="17" stopIfTrue="1">
      <formula>$C$150&gt;0</formula>
    </cfRule>
  </conditionalFormatting>
  <conditionalFormatting sqref="A151">
    <cfRule type="cellIs" dxfId="32" priority="18" stopIfTrue="1" operator="equal">
      <formula>"./. Überschuss"</formula>
    </cfRule>
  </conditionalFormatting>
  <conditionalFormatting sqref="D161">
    <cfRule type="expression" dxfId="31" priority="19" stopIfTrue="1">
      <formula>$D$150&gt;0</formula>
    </cfRule>
  </conditionalFormatting>
  <conditionalFormatting sqref="C116:D116">
    <cfRule type="cellIs" dxfId="30" priority="11" stopIfTrue="1" operator="equal">
      <formula>0</formula>
    </cfRule>
  </conditionalFormatting>
  <conditionalFormatting sqref="E116:I116">
    <cfRule type="cellIs" dxfId="29" priority="10" stopIfTrue="1" operator="equal">
      <formula>0</formula>
    </cfRule>
  </conditionalFormatting>
  <conditionalFormatting sqref="C82:I82">
    <cfRule type="cellIs" dxfId="28" priority="9" stopIfTrue="1" operator="equal">
      <formula>0</formula>
    </cfRule>
  </conditionalFormatting>
  <conditionalFormatting sqref="C111:I111">
    <cfRule type="cellIs" dxfId="27" priority="8" stopIfTrue="1" operator="equal">
      <formula>0</formula>
    </cfRule>
  </conditionalFormatting>
  <conditionalFormatting sqref="C113:I113">
    <cfRule type="cellIs" dxfId="26" priority="7" stopIfTrue="1" operator="equal">
      <formula>0</formula>
    </cfRule>
  </conditionalFormatting>
  <conditionalFormatting sqref="C154:I157">
    <cfRule type="cellIs" dxfId="25" priority="5" stopIfTrue="1" operator="equal">
      <formula>0</formula>
    </cfRule>
  </conditionalFormatting>
  <conditionalFormatting sqref="B153:B158">
    <cfRule type="cellIs" dxfId="24" priority="6" stopIfTrue="1" operator="equal">
      <formula>0</formula>
    </cfRule>
  </conditionalFormatting>
  <conditionalFormatting sqref="C117:I117">
    <cfRule type="cellIs" dxfId="23" priority="4" stopIfTrue="1" operator="equal">
      <formula>0</formula>
    </cfRule>
  </conditionalFormatting>
  <conditionalFormatting sqref="C147">
    <cfRule type="cellIs" dxfId="22" priority="3" stopIfTrue="1" operator="equal">
      <formula>0</formula>
    </cfRule>
  </conditionalFormatting>
  <conditionalFormatting sqref="D147">
    <cfRule type="cellIs" dxfId="21" priority="2" stopIfTrue="1" operator="equal">
      <formula>0</formula>
    </cfRule>
  </conditionalFormatting>
  <conditionalFormatting sqref="E147:I147">
    <cfRule type="cellIs" dxfId="20" priority="1" stopIfTrue="1" operator="equal">
      <formula>0</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dimension ref="A1:L239"/>
  <sheetViews>
    <sheetView showGridLines="0" showRowColHeaders="0" showZeros="0" zoomScale="120" zoomScaleNormal="120" workbookViewId="0">
      <selection activeCell="I2" sqref="I2"/>
    </sheetView>
  </sheetViews>
  <sheetFormatPr baseColWidth="10" defaultColWidth="11.42578125" defaultRowHeight="16.5"/>
  <cols>
    <col min="1" max="1" width="33.28515625" style="205" customWidth="1"/>
    <col min="2" max="2" width="16.7109375" style="205" customWidth="1"/>
    <col min="3" max="3" width="12.85546875" style="205" customWidth="1"/>
    <col min="4" max="6" width="13" style="205" customWidth="1"/>
    <col min="7" max="7" width="12.5703125" style="205" customWidth="1"/>
    <col min="8" max="8" width="12.7109375" style="205" customWidth="1"/>
    <col min="9" max="9" width="13.42578125" style="205" customWidth="1"/>
    <col min="10" max="16384" width="11.42578125" style="205"/>
  </cols>
  <sheetData>
    <row r="1" spans="1:11" ht="20.25" customHeight="1" thickBot="1">
      <c r="H1" s="606" t="s">
        <v>183</v>
      </c>
      <c r="I1" s="605">
        <f ca="1">TODAY()</f>
        <v>43401</v>
      </c>
    </row>
    <row r="2" spans="1:11" ht="36" customHeight="1">
      <c r="A2" s="234"/>
      <c r="B2" s="346" t="s">
        <v>2</v>
      </c>
      <c r="C2" s="235"/>
      <c r="D2" s="222"/>
      <c r="E2" s="236"/>
      <c r="F2" s="236"/>
      <c r="G2" s="236"/>
      <c r="H2" s="236"/>
      <c r="I2" s="237"/>
      <c r="J2" s="206"/>
      <c r="K2" s="206"/>
    </row>
    <row r="3" spans="1:11" ht="19.5" thickBot="1">
      <c r="A3" s="238" t="s">
        <v>4</v>
      </c>
      <c r="B3" s="2107">
        <f>Zusatzeingaben!B2</f>
        <v>0</v>
      </c>
      <c r="C3" s="2108"/>
      <c r="D3" s="239" t="s">
        <v>33</v>
      </c>
      <c r="E3" s="338">
        <f>Zusatzeingaben!E2</f>
        <v>43344</v>
      </c>
      <c r="F3" s="263" t="s">
        <v>103</v>
      </c>
      <c r="G3" s="339">
        <f>Zusatzeingaben!F2</f>
        <v>43373</v>
      </c>
      <c r="H3" s="240"/>
      <c r="I3" s="241"/>
      <c r="J3" s="206"/>
      <c r="K3" s="206"/>
    </row>
    <row r="4" spans="1:11" ht="17.25" thickBot="1">
      <c r="J4" s="206"/>
      <c r="K4" s="206"/>
    </row>
    <row r="5" spans="1:11" ht="23.25">
      <c r="A5" s="221"/>
      <c r="B5" s="345" t="s">
        <v>0</v>
      </c>
      <c r="C5" s="222"/>
      <c r="D5" s="222"/>
      <c r="E5" s="222"/>
      <c r="F5" s="222"/>
      <c r="G5" s="222"/>
      <c r="H5" s="222"/>
      <c r="I5" s="223"/>
    </row>
    <row r="6" spans="1:11" ht="20.25" customHeight="1">
      <c r="A6" s="224"/>
      <c r="B6" s="341" t="s">
        <v>1</v>
      </c>
      <c r="C6" s="341" t="str">
        <f>Zusatzeingaben!C4</f>
        <v>Antragsteller</v>
      </c>
      <c r="D6" s="341" t="str">
        <f>Zusatzeingaben!D4</f>
        <v>Partner(in)</v>
      </c>
      <c r="E6" s="341" t="str">
        <f>Zusatzeingaben!E4</f>
        <v>Kind 1</v>
      </c>
      <c r="F6" s="341" t="s">
        <v>8</v>
      </c>
      <c r="G6" s="341" t="s">
        <v>9</v>
      </c>
      <c r="H6" s="341" t="s">
        <v>10</v>
      </c>
      <c r="I6" s="342" t="s">
        <v>34</v>
      </c>
    </row>
    <row r="7" spans="1:11">
      <c r="A7" s="224" t="s">
        <v>35</v>
      </c>
      <c r="B7" s="300">
        <f>Zusatzeingaben!B6</f>
        <v>1</v>
      </c>
      <c r="C7" s="301">
        <f>Zusatzeingaben!C6</f>
        <v>0</v>
      </c>
      <c r="D7" s="301">
        <f>Zusatzeingaben!D6</f>
        <v>0</v>
      </c>
      <c r="E7" s="301">
        <f>Zusatzeingaben!E6</f>
        <v>0</v>
      </c>
      <c r="F7" s="301">
        <f>Zusatzeingaben!F6</f>
        <v>0</v>
      </c>
      <c r="G7" s="301">
        <f>Zusatzeingaben!G6</f>
        <v>0</v>
      </c>
      <c r="H7" s="301">
        <f>Zusatzeingaben!H6</f>
        <v>0</v>
      </c>
      <c r="I7" s="302">
        <f>Zusatzeingaben!I6</f>
        <v>0</v>
      </c>
    </row>
    <row r="8" spans="1:11" hidden="1">
      <c r="A8" s="224" t="s">
        <v>32</v>
      </c>
      <c r="B8" s="303"/>
      <c r="C8" s="304" t="str">
        <f>Zusatzeingaben!E7</f>
        <v>nein</v>
      </c>
      <c r="D8" s="304" t="str">
        <f>Zusatzeingaben!F7</f>
        <v>nein</v>
      </c>
      <c r="E8" s="304"/>
      <c r="F8" s="304"/>
      <c r="G8" s="304"/>
      <c r="H8" s="304"/>
      <c r="I8" s="305"/>
    </row>
    <row r="9" spans="1:11">
      <c r="A9" s="224" t="s">
        <v>3</v>
      </c>
      <c r="B9" s="306"/>
      <c r="C9" s="307">
        <f>Zusatzeingaben!C22</f>
        <v>0</v>
      </c>
      <c r="D9" s="307">
        <f>Zusatzeingaben!D22</f>
        <v>0</v>
      </c>
      <c r="E9" s="307">
        <f>IF(Zusatzeingaben!E16=0,Zusatzeingaben!E16,Zusatzeingaben!E22)</f>
        <v>0</v>
      </c>
      <c r="F9" s="307">
        <f>IF(Zusatzeingaben!F16=0,Zusatzeingaben!F16,Zusatzeingaben!F22)</f>
        <v>0</v>
      </c>
      <c r="G9" s="307">
        <f>IF(Zusatzeingaben!G16=0,Zusatzeingaben!G16,Zusatzeingaben!G22)</f>
        <v>0</v>
      </c>
      <c r="H9" s="307">
        <f>IF(Zusatzeingaben!H16=0,Zusatzeingaben!H16,Zusatzeingaben!H22)</f>
        <v>0</v>
      </c>
      <c r="I9" s="310">
        <f>IF(Zusatzeingaben!I16=0,Zusatzeingaben!I16,Zusatzeingaben!I22)</f>
        <v>0</v>
      </c>
    </row>
    <row r="10" spans="1:11" ht="17.25" thickBot="1">
      <c r="A10" s="225" t="s">
        <v>39</v>
      </c>
      <c r="B10" s="308"/>
      <c r="C10" s="347" t="str">
        <f>Zusatzeingaben!C35</f>
        <v>ja</v>
      </c>
      <c r="D10" s="347">
        <f>IF(Zusatzeingaben!D33&gt;0,Zusatzeingaben!D35,0)</f>
        <v>0</v>
      </c>
      <c r="E10" s="347">
        <f>IF(Zusatzeingaben!E33&gt;0,Zusatzeingaben!E35,0)</f>
        <v>0</v>
      </c>
      <c r="F10" s="347">
        <f>IF(Zusatzeingaben!F33&gt;0,Zusatzeingaben!F35,0)</f>
        <v>0</v>
      </c>
      <c r="G10" s="347">
        <f>IF(Zusatzeingaben!G33&gt;0,Zusatzeingaben!G35,0)</f>
        <v>0</v>
      </c>
      <c r="H10" s="347">
        <f>IF(Zusatzeingaben!H33&gt;0,Zusatzeingaben!H35,0)</f>
        <v>0</v>
      </c>
      <c r="I10" s="348">
        <f>IF(Zusatzeingaben!I33&gt;0,Zusatzeingaben!I35,0)</f>
        <v>0</v>
      </c>
    </row>
    <row r="11" spans="1:11">
      <c r="A11" s="360" t="s">
        <v>52</v>
      </c>
      <c r="B11" s="292">
        <f>SUM(C11:I11)</f>
        <v>416</v>
      </c>
      <c r="C11" s="293">
        <f>Zusatzeingaben!C33</f>
        <v>416</v>
      </c>
      <c r="D11" s="293">
        <f>Zusatzeingaben!D33</f>
        <v>0</v>
      </c>
      <c r="E11" s="293">
        <f>Zusatzeingaben!E33</f>
        <v>0</v>
      </c>
      <c r="F11" s="293">
        <f>Zusatzeingaben!F33</f>
        <v>0</v>
      </c>
      <c r="G11" s="293">
        <f>Zusatzeingaben!G33</f>
        <v>0</v>
      </c>
      <c r="H11" s="293">
        <f>Zusatzeingaben!H33</f>
        <v>0</v>
      </c>
      <c r="I11" s="294">
        <f>Zusatzeingaben!I33</f>
        <v>0</v>
      </c>
    </row>
    <row r="12" spans="1:11">
      <c r="A12" s="226" t="s">
        <v>19</v>
      </c>
      <c r="B12" s="62"/>
      <c r="C12" s="295"/>
      <c r="D12" s="295"/>
      <c r="E12" s="295"/>
      <c r="F12" s="295"/>
      <c r="G12" s="295"/>
      <c r="H12" s="295"/>
      <c r="I12" s="296"/>
    </row>
    <row r="13" spans="1:11">
      <c r="A13" s="408">
        <f>IF(B13&gt;0,"Schwangerschaft",0)</f>
        <v>0</v>
      </c>
      <c r="B13" s="284">
        <f t="shared" ref="B13:B19" si="0">SUM(C13:I13)</f>
        <v>0</v>
      </c>
      <c r="C13" s="62">
        <f>IF(OR(Zusatzeingaben!C37="",C10="nur Mehrbedarf"),0,Zusatzeingaben!C45)</f>
        <v>0</v>
      </c>
      <c r="D13" s="62">
        <f>IF(OR(Zusatzeingaben!D37="",D10="nur Mehrbedarf"),0,Zusatzeingaben!D45)</f>
        <v>0</v>
      </c>
      <c r="E13" s="62">
        <f>IF(Zusatzeingaben!E37="",0,Zusatzeingaben!E45)</f>
        <v>0</v>
      </c>
      <c r="F13" s="62"/>
      <c r="G13" s="62"/>
      <c r="H13" s="62"/>
      <c r="I13" s="110"/>
    </row>
    <row r="14" spans="1:11">
      <c r="A14" s="408">
        <f>IF(B14&gt;0,"Alleinerziehende",0)</f>
        <v>0</v>
      </c>
      <c r="B14" s="284">
        <f>C14</f>
        <v>0</v>
      </c>
      <c r="C14" s="62">
        <f>IF(C10="nur Mehrbedarf",0,Zusatzeingaben!B46)</f>
        <v>0</v>
      </c>
      <c r="D14" s="62"/>
      <c r="E14" s="62"/>
      <c r="F14" s="62"/>
      <c r="G14" s="62"/>
      <c r="H14" s="62"/>
      <c r="I14" s="110"/>
    </row>
    <row r="15" spans="1:11">
      <c r="A15" s="408">
        <f>IF(B15&gt;0,"behinderter Mensch, Teilhabe",0)</f>
        <v>0</v>
      </c>
      <c r="B15" s="284">
        <f t="shared" si="0"/>
        <v>0</v>
      </c>
      <c r="C15" s="62">
        <f>IF(Zusatzeingaben!C34="ja",Zusatzeingaben!C92,0)</f>
        <v>0</v>
      </c>
      <c r="D15" s="62">
        <f>IF(Zusatzeingaben!D34="ja",Zusatzeingaben!D92,0)</f>
        <v>0</v>
      </c>
      <c r="E15" s="62">
        <f>IF(Zusatzeingaben!E34="ja",Zusatzeingaben!E92,0)</f>
        <v>0</v>
      </c>
      <c r="F15" s="62">
        <f>IF(Zusatzeingaben!F34="ja",Zusatzeingaben!F92,0)</f>
        <v>0</v>
      </c>
      <c r="G15" s="62">
        <f>IF(Zusatzeingaben!G34="ja",Zusatzeingaben!G92,0)</f>
        <v>0</v>
      </c>
      <c r="H15" s="62">
        <f>IF(Zusatzeingaben!H34="ja",Zusatzeingaben!H92,0)</f>
        <v>0</v>
      </c>
      <c r="I15" s="110">
        <f>IF(Zusatzeingaben!I34="ja",Zusatzeingaben!I92,0)</f>
        <v>0</v>
      </c>
    </row>
    <row r="16" spans="1:11">
      <c r="A16" s="408">
        <f>IF(B16&gt;0,"kostenaufwändige Ernährung",0)</f>
        <v>0</v>
      </c>
      <c r="B16" s="284">
        <f t="shared" si="0"/>
        <v>0</v>
      </c>
      <c r="C16" s="62">
        <f>IF(C10="nur Mehrbedarf",0,Zusatzeingaben!C93)</f>
        <v>0</v>
      </c>
      <c r="D16" s="62">
        <f>IF(D10="nur Mehrbedarf",0,Zusatzeingaben!D93)</f>
        <v>0</v>
      </c>
      <c r="E16" s="62">
        <f>Zusatzeingaben!E93</f>
        <v>0</v>
      </c>
      <c r="F16" s="62">
        <f>Zusatzeingaben!F93</f>
        <v>0</v>
      </c>
      <c r="G16" s="62">
        <f>Zusatzeingaben!G93</f>
        <v>0</v>
      </c>
      <c r="H16" s="62">
        <f>Zusatzeingaben!H93</f>
        <v>0</v>
      </c>
      <c r="I16" s="110">
        <f>Zusatzeingaben!I93</f>
        <v>0</v>
      </c>
    </row>
    <row r="17" spans="1:11">
      <c r="A17" s="408">
        <f>IF(B17&gt;0,"unabweisbarer, lfd., besond. Bedarf",0)</f>
        <v>0</v>
      </c>
      <c r="B17" s="284">
        <f t="shared" si="0"/>
        <v>0</v>
      </c>
      <c r="C17" s="62">
        <f>IF(C10="nur Mehrbedarf",0,Zusatzeingaben!C94)</f>
        <v>0</v>
      </c>
      <c r="D17" s="62">
        <f>IF(D10="nur Mehrbedarf",0,Zusatzeingaben!D94)</f>
        <v>0</v>
      </c>
      <c r="E17" s="62">
        <f>Zusatzeingaben!E94</f>
        <v>0</v>
      </c>
      <c r="F17" s="62">
        <f>Zusatzeingaben!F94</f>
        <v>0</v>
      </c>
      <c r="G17" s="62">
        <f>Zusatzeingaben!G94</f>
        <v>0</v>
      </c>
      <c r="H17" s="62">
        <f>Zusatzeingaben!H94</f>
        <v>0</v>
      </c>
      <c r="I17" s="110">
        <f>Zusatzeingaben!I94</f>
        <v>0</v>
      </c>
    </row>
    <row r="18" spans="1:11">
      <c r="A18" s="408">
        <f>IF(B18&gt;0,"Warmwasser dezentral",0)</f>
        <v>0</v>
      </c>
      <c r="B18" s="284">
        <f t="shared" si="0"/>
        <v>0</v>
      </c>
      <c r="C18" s="62">
        <f>Zusatzeingaben!C98</f>
        <v>0</v>
      </c>
      <c r="D18" s="62">
        <f>Zusatzeingaben!D98</f>
        <v>0</v>
      </c>
      <c r="E18" s="62">
        <f>Zusatzeingaben!E98</f>
        <v>0</v>
      </c>
      <c r="F18" s="62">
        <f>Zusatzeingaben!F98</f>
        <v>0</v>
      </c>
      <c r="G18" s="62">
        <f>Zusatzeingaben!G98</f>
        <v>0</v>
      </c>
      <c r="H18" s="62">
        <f>Zusatzeingaben!H98</f>
        <v>0</v>
      </c>
      <c r="I18" s="110">
        <f>Zusatzeingaben!I98</f>
        <v>0</v>
      </c>
    </row>
    <row r="19" spans="1:11">
      <c r="A19" s="408">
        <f>IF(B19&gt;0,"erwerbsunfähig, Merkzeichen G",0)</f>
        <v>0</v>
      </c>
      <c r="B19" s="284">
        <f t="shared" si="0"/>
        <v>0</v>
      </c>
      <c r="C19" s="62">
        <f>IF(Zusatzeingaben!C34="nein",Zusatzeingaben!C100,0)</f>
        <v>0</v>
      </c>
      <c r="D19" s="62">
        <f>IF(Zusatzeingaben!D34="nein",Zusatzeingaben!D100,0)</f>
        <v>0</v>
      </c>
      <c r="E19" s="62">
        <f>IF(Zusatzeingaben!E34="nein",Zusatzeingaben!E100,0)</f>
        <v>0</v>
      </c>
      <c r="F19" s="62">
        <f>IF(Zusatzeingaben!F34="nein",Zusatzeingaben!F100,0)</f>
        <v>0</v>
      </c>
      <c r="G19" s="62">
        <f>IF(Zusatzeingaben!G34="nein",Zusatzeingaben!G100,0)</f>
        <v>0</v>
      </c>
      <c r="H19" s="62">
        <f>IF(Zusatzeingaben!H34="nein",Zusatzeingaben!H100,0)</f>
        <v>0</v>
      </c>
      <c r="I19" s="110">
        <f>IF(Zusatzeingaben!I34="nein",Zusatzeingaben!I100,0)</f>
        <v>0</v>
      </c>
    </row>
    <row r="20" spans="1:11" ht="18" customHeight="1">
      <c r="A20" s="228" t="s">
        <v>13</v>
      </c>
      <c r="B20" s="62"/>
      <c r="C20" s="309"/>
      <c r="D20" s="309"/>
      <c r="E20" s="309"/>
      <c r="F20" s="295"/>
      <c r="G20" s="295"/>
      <c r="H20" s="295"/>
      <c r="I20" s="296"/>
    </row>
    <row r="21" spans="1:11" hidden="1">
      <c r="A21" s="243"/>
      <c r="B21" s="62">
        <f>Zusatzeingaben!C102</f>
        <v>0</v>
      </c>
      <c r="C21" s="62">
        <f>B21/B7</f>
        <v>0</v>
      </c>
      <c r="D21" s="62">
        <f>IF(D9=0,0,B21/B7)</f>
        <v>0</v>
      </c>
      <c r="E21" s="62">
        <f>IF(Zusatzeingaben!E33=0,0,B21/B7)</f>
        <v>0</v>
      </c>
      <c r="F21" s="62">
        <f>IF(Zusatzeingaben!F33=0,0,B21/B7)</f>
        <v>0</v>
      </c>
      <c r="G21" s="62">
        <f>IF(Zusatzeingaben!G33=0,0,B21/B7)</f>
        <v>0</v>
      </c>
      <c r="H21" s="62">
        <f>IF(Zusatzeingaben!H33=0,0,B21/B7)</f>
        <v>0</v>
      </c>
      <c r="I21" s="110">
        <f>IF(Zusatzeingaben!I33=0,0,B21/B7)</f>
        <v>0</v>
      </c>
    </row>
    <row r="22" spans="1:11" hidden="1">
      <c r="A22" s="229"/>
      <c r="B22" s="62">
        <f>SUM(C22:I22)</f>
        <v>0</v>
      </c>
      <c r="C22" s="62">
        <f>C21</f>
        <v>0</v>
      </c>
      <c r="D22" s="62">
        <f>D21</f>
        <v>0</v>
      </c>
      <c r="E22" s="62">
        <f>IF(Zusatzeingaben!E8&gt;Zusatzeingaben!E2,E21*Zusatzeingaben!E14/30,IF(Zusatzeingaben!E18=25,E21*Zusatzeingaben!E10/30,E21))</f>
        <v>0</v>
      </c>
      <c r="F22" s="62">
        <f>IF(Zusatzeingaben!F8&gt;Zusatzeingaben!E2,F21*Zusatzeingaben!F14/30,IF(Zusatzeingaben!F18=25,F21*Zusatzeingaben!F10/30,F21))</f>
        <v>0</v>
      </c>
      <c r="G22" s="62">
        <f>IF(Zusatzeingaben!G8&gt;Zusatzeingaben!E2,G21*Zusatzeingaben!G14/30,IF(Zusatzeingaben!G18=25,G21*Zusatzeingaben!G10/30,G21))</f>
        <v>0</v>
      </c>
      <c r="H22" s="62">
        <f>IF(Zusatzeingaben!H8&gt;Zusatzeingaben!E2,H21*Zusatzeingaben!H14/30,IF(Zusatzeingaben!H18=25,H21*Zusatzeingaben!H10/30,H21))</f>
        <v>0</v>
      </c>
      <c r="I22" s="110">
        <f>IF(Zusatzeingaben!I8&gt;Zusatzeingaben!E2,I21*Zusatzeingaben!I14/30,IF(Zusatzeingaben!I18=25,I21*Zusatzeingaben!I10/30,I21))</f>
        <v>0</v>
      </c>
      <c r="K22" s="359">
        <f>COUNTIF(C22:I22,C22)</f>
        <v>7</v>
      </c>
    </row>
    <row r="23" spans="1:11" hidden="1">
      <c r="A23" s="243"/>
      <c r="B23" s="62">
        <f>SUM(C23:I23)</f>
        <v>0</v>
      </c>
      <c r="C23" s="62">
        <f>IF(AND(B22&lt;B21,C22=C21,C22&gt;0),C21+(B21-B22)/K22,C22)</f>
        <v>0</v>
      </c>
      <c r="D23" s="62">
        <f>IF(AND(B22&lt;B21,D22=D21,D22&gt;0),D21+(B21-B22)/K22,D22)</f>
        <v>0</v>
      </c>
      <c r="E23" s="62">
        <f>IF(AND(B22&lt;B21,E22=E21,E22&gt;0),E21+(B21-B22)/K22,E22)</f>
        <v>0</v>
      </c>
      <c r="F23" s="62">
        <f>IF(AND(B22&lt;B21,F22=F21,F22&gt;0),F21+(B21-B22)/K22,F22)</f>
        <v>0</v>
      </c>
      <c r="G23" s="62">
        <f>IF(AND(B22&lt;B21,G22=G21,G22&gt;0),G21+(B21-B22)/K22,G22)</f>
        <v>0</v>
      </c>
      <c r="H23" s="62">
        <f>IF(AND(B22&lt;B21,H22=H21,H22&gt;0),H21+(B21-B22)/K22,H22)</f>
        <v>0</v>
      </c>
      <c r="I23" s="110">
        <f>IF(AND(B22&lt;B21,I22=I21,I22&gt;0),I21+(B21-B22)/K22,I22)</f>
        <v>0</v>
      </c>
    </row>
    <row r="24" spans="1:11">
      <c r="A24" s="409">
        <f>IF(B24&gt;0,Zusatzeingaben!A102,0)</f>
        <v>0</v>
      </c>
      <c r="B24" s="284">
        <f>SUM(C24:I24)</f>
        <v>0</v>
      </c>
      <c r="C24" s="62">
        <f>IF(Zusatzeingaben!$K$18&gt;0,C22,C23)</f>
        <v>0</v>
      </c>
      <c r="D24" s="62">
        <f>IF(Zusatzeingaben!$K$18&gt;0,D22,D23)</f>
        <v>0</v>
      </c>
      <c r="E24" s="62">
        <f>IF(Zusatzeingaben!$K$18&gt;0,E22,E23)</f>
        <v>0</v>
      </c>
      <c r="F24" s="62">
        <f>IF(Zusatzeingaben!$K$18&gt;0,F22,F23)</f>
        <v>0</v>
      </c>
      <c r="G24" s="62">
        <f>IF(Zusatzeingaben!$K$18&gt;0,G22,G23)</f>
        <v>0</v>
      </c>
      <c r="H24" s="62">
        <f>IF(Zusatzeingaben!$K$18&gt;0,H22,H23)</f>
        <v>0</v>
      </c>
      <c r="I24" s="110">
        <f>IF(Zusatzeingaben!$K$18&gt;0,I22,I23)</f>
        <v>0</v>
      </c>
    </row>
    <row r="25" spans="1:11" hidden="1">
      <c r="A25" s="410" t="str">
        <f>Zusatzeingaben!A103</f>
        <v>weitere Kosten</v>
      </c>
      <c r="B25" s="62">
        <f>Zusatzeingaben!C103</f>
        <v>0</v>
      </c>
      <c r="C25" s="62">
        <f>B25/B7</f>
        <v>0</v>
      </c>
      <c r="D25" s="62">
        <f>IF(D9="",0,B25/B7)</f>
        <v>0</v>
      </c>
      <c r="E25" s="62">
        <f>IF(E9="",0,B25/B7)</f>
        <v>0</v>
      </c>
      <c r="F25" s="62">
        <f>IF(F9="",0,B25/B7)</f>
        <v>0</v>
      </c>
      <c r="G25" s="62">
        <f>IF(G9="",0,B25/B7)</f>
        <v>0</v>
      </c>
      <c r="H25" s="62">
        <f>IF(H9="",0,B25/B7)</f>
        <v>0</v>
      </c>
      <c r="I25" s="110">
        <f>IF(I9="",0,B25/B7)</f>
        <v>0</v>
      </c>
    </row>
    <row r="26" spans="1:11" hidden="1">
      <c r="A26" s="411"/>
      <c r="B26" s="62">
        <f>Zusatzeingaben!C104</f>
        <v>0</v>
      </c>
      <c r="C26" s="62">
        <f>B26/B7</f>
        <v>0</v>
      </c>
      <c r="D26" s="62">
        <f>IF(D9=0,0,B26/B7)</f>
        <v>0</v>
      </c>
      <c r="E26" s="62">
        <f>IF(Zusatzeingaben!E33=0,0,B26/B7)</f>
        <v>0</v>
      </c>
      <c r="F26" s="62">
        <f>IF(Zusatzeingaben!F33=0,0,B26/B7)</f>
        <v>0</v>
      </c>
      <c r="G26" s="62">
        <f>IF(Zusatzeingaben!G33=0,0,B26/B7)</f>
        <v>0</v>
      </c>
      <c r="H26" s="62">
        <f>IF(Zusatzeingaben!H33=0,0,B26/B7)</f>
        <v>0</v>
      </c>
      <c r="I26" s="110">
        <f>IF(Zusatzeingaben!I33=0,0,B26/B7)</f>
        <v>0</v>
      </c>
    </row>
    <row r="27" spans="1:11" hidden="1">
      <c r="A27" s="409"/>
      <c r="B27" s="62">
        <f>SUM(C27:I27)</f>
        <v>0</v>
      </c>
      <c r="C27" s="62">
        <f>C26</f>
        <v>0</v>
      </c>
      <c r="D27" s="62">
        <f>D26</f>
        <v>0</v>
      </c>
      <c r="E27" s="62">
        <f>IF(Zusatzeingaben!E8&gt;Zusatzeingaben!E2,E26*Zusatzeingaben!E14/30,IF(Zusatzeingaben!E18=25,E26*Zusatzeingaben!E10/30,E26))</f>
        <v>0</v>
      </c>
      <c r="F27" s="62">
        <f>IF(Zusatzeingaben!F8&gt;Zusatzeingaben!E2,F26*Zusatzeingaben!F14/30,IF(Zusatzeingaben!F18=25,F26*Zusatzeingaben!F10/30,F26))</f>
        <v>0</v>
      </c>
      <c r="G27" s="62">
        <f>IF(Zusatzeingaben!G8&gt;Zusatzeingaben!E2,G26*Zusatzeingaben!G14/30,IF(Zusatzeingaben!G18=25,G26*Zusatzeingaben!G10/30,G26))</f>
        <v>0</v>
      </c>
      <c r="H27" s="62">
        <f>IF(Zusatzeingaben!H8&gt;Zusatzeingaben!E2,H26*Zusatzeingaben!H14/30,IF(Zusatzeingaben!H18=25,H26*Zusatzeingaben!H10/30,H26))</f>
        <v>0</v>
      </c>
      <c r="I27" s="110">
        <f>IF(Zusatzeingaben!I8&gt;Zusatzeingaben!E2,I26*Zusatzeingaben!I14/30,IF(Zusatzeingaben!I18=25,I26*Zusatzeingaben!I10/30,I26))</f>
        <v>0</v>
      </c>
      <c r="K27" s="359">
        <f>COUNTIF(C27:I27,C27)</f>
        <v>7</v>
      </c>
    </row>
    <row r="28" spans="1:11" hidden="1">
      <c r="A28" s="411"/>
      <c r="B28" s="62">
        <f>SUM(C28:I28)</f>
        <v>0</v>
      </c>
      <c r="C28" s="62">
        <f>IF(AND(B27&lt;B26,C27=C26,C27&gt;0),C26+(B26-B27)/K27,C27)</f>
        <v>0</v>
      </c>
      <c r="D28" s="62">
        <f>IF(AND(B27&lt;B26,D27=D26,D27&gt;0),D26+(B26-B27)/K27,D27)</f>
        <v>0</v>
      </c>
      <c r="E28" s="62">
        <f>IF(AND(B27&lt;B26,E27=E26,E27&gt;0),E26+(B26-B27)/K27,E27)</f>
        <v>0</v>
      </c>
      <c r="F28" s="62">
        <f>IF(AND(B27&lt;B26,F27=F26,F27&gt;0),F26+(B26-B27)/K27,F27)</f>
        <v>0</v>
      </c>
      <c r="G28" s="62">
        <f>IF(AND(B27&lt;B26,G27=G26,G27&gt;0),G26+(B26-B27)/K27,G27)</f>
        <v>0</v>
      </c>
      <c r="H28" s="62">
        <f>IF(AND(B27&lt;B26,H27=H26,H27&gt;0),H26+(B26-B27)/K27,H27)</f>
        <v>0</v>
      </c>
      <c r="I28" s="110">
        <f>IF(AND(B27&lt;B26,I27=I26,I27&gt;0),I26+(B26-B27)/K27,I27)</f>
        <v>0</v>
      </c>
    </row>
    <row r="29" spans="1:11">
      <c r="A29" s="409">
        <f>IF(B29&gt;0,Zusatzeingaben!A104,0)</f>
        <v>0</v>
      </c>
      <c r="B29" s="284">
        <f>SUM(C29:I29)</f>
        <v>0</v>
      </c>
      <c r="C29" s="62">
        <f>IF(Zusatzeingaben!$K$18&gt;0,C27,C28)</f>
        <v>0</v>
      </c>
      <c r="D29" s="62">
        <f>IF(Zusatzeingaben!$K$18&gt;0,D27,D28)</f>
        <v>0</v>
      </c>
      <c r="E29" s="62">
        <f>IF(Zusatzeingaben!$K$18&gt;0,E27,E28)</f>
        <v>0</v>
      </c>
      <c r="F29" s="62">
        <f>IF(Zusatzeingaben!$K$18&gt;0,F27,F28)</f>
        <v>0</v>
      </c>
      <c r="G29" s="62">
        <f>IF(Zusatzeingaben!$K$18&gt;0,G27,G28)</f>
        <v>0</v>
      </c>
      <c r="H29" s="62">
        <f>IF(Zusatzeingaben!$K$18&gt;0,H27,H28)</f>
        <v>0</v>
      </c>
      <c r="I29" s="110">
        <f>IF(Zusatzeingaben!$K$18&gt;0,I27,I28)</f>
        <v>0</v>
      </c>
    </row>
    <row r="30" spans="1:11" hidden="1">
      <c r="A30" s="411"/>
      <c r="B30" s="62">
        <f>Zusatzeingaben!C105</f>
        <v>0</v>
      </c>
      <c r="C30" s="62">
        <f>B30/B7</f>
        <v>0</v>
      </c>
      <c r="D30" s="62">
        <f>IF(D9=0,0,B30/B7)</f>
        <v>0</v>
      </c>
      <c r="E30" s="62">
        <f>IF(Zusatzeingaben!E33=0,0,B30/B7)</f>
        <v>0</v>
      </c>
      <c r="F30" s="62">
        <f>IF(Zusatzeingaben!F33=0,0,B30/B7)</f>
        <v>0</v>
      </c>
      <c r="G30" s="62">
        <f>IF(Zusatzeingaben!G33=0,0,B30/B7)</f>
        <v>0</v>
      </c>
      <c r="H30" s="62">
        <f>IF(Zusatzeingaben!H33=0,0,B30/B7)</f>
        <v>0</v>
      </c>
      <c r="I30" s="110">
        <f>IF(Zusatzeingaben!I33=0,0,B30/B7)</f>
        <v>0</v>
      </c>
    </row>
    <row r="31" spans="1:11" hidden="1">
      <c r="A31" s="409"/>
      <c r="B31" s="62">
        <f>SUM(C31:I31)</f>
        <v>0</v>
      </c>
      <c r="C31" s="62">
        <f>C30</f>
        <v>0</v>
      </c>
      <c r="D31" s="62">
        <f>D30</f>
        <v>0</v>
      </c>
      <c r="E31" s="62">
        <f>IF(Zusatzeingaben!E8&gt;Zusatzeingaben!E2,E30*Zusatzeingaben!E14/30,IF(Zusatzeingaben!E18=25,E30*Zusatzeingaben!E10/30,E30))</f>
        <v>0</v>
      </c>
      <c r="F31" s="62">
        <f>IF(Zusatzeingaben!F8&gt;Zusatzeingaben!E2,F30*Zusatzeingaben!F14/30,IF(Zusatzeingaben!F18=25,F30*Zusatzeingaben!F10/30,F30))</f>
        <v>0</v>
      </c>
      <c r="G31" s="62">
        <f>IF(Zusatzeingaben!G8&gt;Zusatzeingaben!E2,G30*Zusatzeingaben!G14/30,IF(Zusatzeingaben!G18=25,G30*Zusatzeingaben!G10/30,G30))</f>
        <v>0</v>
      </c>
      <c r="H31" s="62">
        <f>IF(Zusatzeingaben!H8&gt;Zusatzeingaben!E2,H30*Zusatzeingaben!H14/30,IF(Zusatzeingaben!H18=25,H30*Zusatzeingaben!H10/30,H30))</f>
        <v>0</v>
      </c>
      <c r="I31" s="110">
        <f>IF(Zusatzeingaben!I8&gt;Zusatzeingaben!E2,I30*Zusatzeingaben!I14/30,IF(Zusatzeingaben!I18=25,I30*Zusatzeingaben!I10/30,I30))</f>
        <v>0</v>
      </c>
      <c r="K31" s="359">
        <f>COUNTIF(C31:I31,C31)</f>
        <v>7</v>
      </c>
    </row>
    <row r="32" spans="1:11" hidden="1">
      <c r="A32" s="411"/>
      <c r="B32" s="62">
        <f>SUM(C32:I32)</f>
        <v>0</v>
      </c>
      <c r="C32" s="62">
        <f>IF(AND(B31&lt;B30,C31=C30,C31&gt;0),C30+(B30-B31)/K31,C31)</f>
        <v>0</v>
      </c>
      <c r="D32" s="62">
        <f>IF(AND(B31&lt;B30,D31=D30,D31&gt;0),D30+(B30-B31)/K31,D31)</f>
        <v>0</v>
      </c>
      <c r="E32" s="62">
        <f>IF(AND(B31&lt;B30,E31=E30,E31&gt;0),E30+(B30-B31)/K31,E31)</f>
        <v>0</v>
      </c>
      <c r="F32" s="62">
        <f>IF(AND(B31&lt;B30,F31=F30,F31&gt;0),F30+(B30-B31)/K31,F31)</f>
        <v>0</v>
      </c>
      <c r="G32" s="62">
        <f>IF(AND(B31&lt;B30,G31=G30,G31&gt;0),G30+(B30-B31)/K31,G31)</f>
        <v>0</v>
      </c>
      <c r="H32" s="62">
        <f>IF(AND(B31&lt;B30,H31=H30,H31&gt;0),H30+(B30-B31)/K31,H31)</f>
        <v>0</v>
      </c>
      <c r="I32" s="110">
        <f>IF(AND(B31&lt;B30,I31=I30,I31&gt;0),I30+(B30-B31)/K31,I31)</f>
        <v>0</v>
      </c>
    </row>
    <row r="33" spans="1:11">
      <c r="A33" s="409">
        <f>IF(B33&gt;0,Zusatzeingaben!A105,0)</f>
        <v>0</v>
      </c>
      <c r="B33" s="284">
        <f>SUM(C33:I33)</f>
        <v>0</v>
      </c>
      <c r="C33" s="62">
        <f>IF(Zusatzeingaben!$K$18&gt;0,C31,C32)</f>
        <v>0</v>
      </c>
      <c r="D33" s="62">
        <f>IF(Zusatzeingaben!$K$18&gt;0,D31,D32)</f>
        <v>0</v>
      </c>
      <c r="E33" s="62">
        <f>IF(Zusatzeingaben!$K$18&gt;0,E31,E32)</f>
        <v>0</v>
      </c>
      <c r="F33" s="62">
        <f>IF(Zusatzeingaben!$K$18&gt;0,F31,F32)</f>
        <v>0</v>
      </c>
      <c r="G33" s="62">
        <f>IF(Zusatzeingaben!$K$18&gt;0,G31,G32)</f>
        <v>0</v>
      </c>
      <c r="H33" s="62">
        <f>IF(Zusatzeingaben!$K$18&gt;0,H31,H32)</f>
        <v>0</v>
      </c>
      <c r="I33" s="110">
        <f>IF(Zusatzeingaben!$K$18&gt;0,I31,I32)</f>
        <v>0</v>
      </c>
    </row>
    <row r="34" spans="1:11" hidden="1">
      <c r="A34" s="411"/>
      <c r="B34" s="62">
        <f>Zusatzeingaben!C106</f>
        <v>0</v>
      </c>
      <c r="C34" s="62">
        <f>B34/B7</f>
        <v>0</v>
      </c>
      <c r="D34" s="62">
        <f>IF(D9=0,0,B34/B7)</f>
        <v>0</v>
      </c>
      <c r="E34" s="62">
        <f>IF(Zusatzeingaben!E33=0,0,B34/B7)</f>
        <v>0</v>
      </c>
      <c r="F34" s="62">
        <f>IF(Zusatzeingaben!F33=0,0,B34/B7)</f>
        <v>0</v>
      </c>
      <c r="G34" s="62">
        <f>IF(Zusatzeingaben!G33=0,0,B34/B7)</f>
        <v>0</v>
      </c>
      <c r="H34" s="62">
        <f>IF(Zusatzeingaben!H33=0,0,B34/B7)</f>
        <v>0</v>
      </c>
      <c r="I34" s="110">
        <f>IF(Zusatzeingaben!I33=0,0,B34/B7)</f>
        <v>0</v>
      </c>
    </row>
    <row r="35" spans="1:11" hidden="1">
      <c r="A35" s="409"/>
      <c r="B35" s="62">
        <f t="shared" ref="B35:B42" si="1">SUM(C35:I35)</f>
        <v>0</v>
      </c>
      <c r="C35" s="62">
        <f>C34</f>
        <v>0</v>
      </c>
      <c r="D35" s="62">
        <f>D34</f>
        <v>0</v>
      </c>
      <c r="E35" s="62">
        <f>IF(Zusatzeingaben!E8&gt;Zusatzeingaben!E2,E34*Zusatzeingaben!E14/30,IF(Zusatzeingaben!E18=25,E34*Zusatzeingaben!E10/30,E34))</f>
        <v>0</v>
      </c>
      <c r="F35" s="62">
        <f>IF(Zusatzeingaben!F8&gt;Zusatzeingaben!E2,F34*Zusatzeingaben!F14/30,IF(Zusatzeingaben!F18=25,F34*Zusatzeingaben!F10/30,F34))</f>
        <v>0</v>
      </c>
      <c r="G35" s="62">
        <f>IF(Zusatzeingaben!G8&gt;Zusatzeingaben!E2,G34*Zusatzeingaben!G14/30,IF(Zusatzeingaben!G18=25,G34*Zusatzeingaben!G10/30,G34))</f>
        <v>0</v>
      </c>
      <c r="H35" s="62">
        <f>IF(Zusatzeingaben!H8&gt;Zusatzeingaben!E2,H34*Zusatzeingaben!H14/30,IF(Zusatzeingaben!H18=25,H34*Zusatzeingaben!H10/30,H34))</f>
        <v>0</v>
      </c>
      <c r="I35" s="110">
        <f>IF(Zusatzeingaben!I8&gt;Zusatzeingaben!E2,I34*Zusatzeingaben!I14/30,IF(Zusatzeingaben!I18=25,I34*Zusatzeingaben!I10/30,I34))</f>
        <v>0</v>
      </c>
      <c r="K35" s="359">
        <f>COUNTIF(C35:I35,C35)</f>
        <v>7</v>
      </c>
    </row>
    <row r="36" spans="1:11" hidden="1">
      <c r="A36" s="411"/>
      <c r="B36" s="62">
        <f t="shared" si="1"/>
        <v>0</v>
      </c>
      <c r="C36" s="62">
        <f>IF(AND(B35&lt;B34,C35=C34,C35&gt;0),C34+(B34-B35)/K35,C35)</f>
        <v>0</v>
      </c>
      <c r="D36" s="62">
        <f>IF(AND(B35&lt;B34,D35=D34,D35&gt;0),D34+(B34-B35)/K35,D35)</f>
        <v>0</v>
      </c>
      <c r="E36" s="62">
        <f>IF(AND(B35&lt;B34,E35=E34,E35&gt;0),E34+(B34-B35)/K35,E35)</f>
        <v>0</v>
      </c>
      <c r="F36" s="62">
        <f>IF(AND(B35&lt;B34,F35=F34,F35&gt;0),F34+(B34-B35)/K35,F35)</f>
        <v>0</v>
      </c>
      <c r="G36" s="62">
        <f>IF(AND(B35&lt;B34,G35=G34,G35&gt;0),G34+(B34-B35)/K35,G35)</f>
        <v>0</v>
      </c>
      <c r="H36" s="62">
        <f>IF(AND(B35&lt;B34,H35=H34,H35&gt;0),H34+(B34-B35)/K35,H35)</f>
        <v>0</v>
      </c>
      <c r="I36" s="110">
        <f>IF(AND(B35&lt;B34,I35=I34,I35&gt;0),I34+(B34-B35)/K35,I35)</f>
        <v>0</v>
      </c>
    </row>
    <row r="37" spans="1:11">
      <c r="A37" s="409">
        <f>IF(B37&gt;0,Zusatzeingaben!A106,0)</f>
        <v>0</v>
      </c>
      <c r="B37" s="284">
        <f t="shared" si="1"/>
        <v>0</v>
      </c>
      <c r="C37" s="62">
        <f>IF(Zusatzeingaben!$K$18&gt;0,C35,C36)</f>
        <v>0</v>
      </c>
      <c r="D37" s="62">
        <f>IF(Zusatzeingaben!$K$18&gt;0,D35,D36)</f>
        <v>0</v>
      </c>
      <c r="E37" s="62">
        <f>IF(Zusatzeingaben!$K$18&gt;0,E35,E36)</f>
        <v>0</v>
      </c>
      <c r="F37" s="62">
        <f>IF(Zusatzeingaben!$K$18&gt;0,F35,F36)</f>
        <v>0</v>
      </c>
      <c r="G37" s="62">
        <f>IF(Zusatzeingaben!$K$18&gt;0,G35,G36)</f>
        <v>0</v>
      </c>
      <c r="H37" s="62">
        <f>IF(Zusatzeingaben!$K$18&gt;0,H35,H36)</f>
        <v>0</v>
      </c>
      <c r="I37" s="110">
        <f>IF(Zusatzeingaben!$K$18&gt;0,I35,I36)</f>
        <v>0</v>
      </c>
    </row>
    <row r="38" spans="1:11" hidden="1">
      <c r="A38" s="409"/>
      <c r="B38" s="62">
        <f t="shared" si="1"/>
        <v>0</v>
      </c>
      <c r="C38" s="62">
        <f>Zusatzeingaben!C114</f>
        <v>0</v>
      </c>
      <c r="D38" s="62">
        <f>Zusatzeingaben!D114</f>
        <v>0</v>
      </c>
      <c r="E38" s="62">
        <f>Zusatzeingaben!E114</f>
        <v>0</v>
      </c>
      <c r="F38" s="62">
        <f>Zusatzeingaben!F114</f>
        <v>0</v>
      </c>
      <c r="G38" s="62">
        <f>Zusatzeingaben!G114</f>
        <v>0</v>
      </c>
      <c r="H38" s="62">
        <f>Zusatzeingaben!H114</f>
        <v>0</v>
      </c>
      <c r="I38" s="110">
        <f>Zusatzeingaben!I114</f>
        <v>0</v>
      </c>
    </row>
    <row r="39" spans="1:11" hidden="1">
      <c r="A39" s="409"/>
      <c r="B39" s="62">
        <f t="shared" si="1"/>
        <v>0</v>
      </c>
      <c r="C39" s="62">
        <f>C38</f>
        <v>0</v>
      </c>
      <c r="D39" s="62">
        <f>D38</f>
        <v>0</v>
      </c>
      <c r="E39" s="62">
        <f>IF(Zusatzeingaben!E8&gt;Zusatzeingaben!$E$2,E38*Zusatzeingaben!E14/30,IF(Zusatzeingaben!E18=25,E38*Zusatzeingaben!E10/30,E38))</f>
        <v>0</v>
      </c>
      <c r="F39" s="62">
        <f>IF(Zusatzeingaben!F8&gt;Zusatzeingaben!$E$2,F38*Zusatzeingaben!F14/30,IF(Zusatzeingaben!F18=25,F38*Zusatzeingaben!F10/30,F38))</f>
        <v>0</v>
      </c>
      <c r="G39" s="62">
        <f>IF(Zusatzeingaben!G8&gt;Zusatzeingaben!$E$2,G38*Zusatzeingaben!G14/30,IF(Zusatzeingaben!G18=25,G38*Zusatzeingaben!G10/30,G38))</f>
        <v>0</v>
      </c>
      <c r="H39" s="62">
        <f>IF(Zusatzeingaben!H8&gt;Zusatzeingaben!$E$2,H38*Zusatzeingaben!H14/30,IF(Zusatzeingaben!H18=25,H38*Zusatzeingaben!H10/30,H38))</f>
        <v>0</v>
      </c>
      <c r="I39" s="110">
        <f>IF(Zusatzeingaben!I8&gt;Zusatzeingaben!$E$2,I38*Zusatzeingaben!I14/30,IF(Zusatzeingaben!I18=25,I38*Zusatzeingaben!I10/30,I38))</f>
        <v>0</v>
      </c>
      <c r="K39" s="359">
        <f>COUNTIF(C39:I39,C39)</f>
        <v>7</v>
      </c>
    </row>
    <row r="40" spans="1:11" hidden="1">
      <c r="A40" s="409"/>
      <c r="B40" s="62">
        <f t="shared" si="1"/>
        <v>0</v>
      </c>
      <c r="C40" s="62">
        <f>IF(AND(B39&lt;B38,C39=C38,C39&gt;0),C38+(B38-B39)/K39,C39)</f>
        <v>0</v>
      </c>
      <c r="D40" s="62">
        <f>IF(AND(B39&lt;B38,D39=D38,D39&gt;0),D38+(B38-B39)/K39,D39)</f>
        <v>0</v>
      </c>
      <c r="E40" s="62">
        <f>IF(AND(B39&lt;B38,E39=E38,E39&gt;0),E38+(B38-B39)/K39,E39)</f>
        <v>0</v>
      </c>
      <c r="F40" s="62">
        <f>IF(AND(B39&lt;B38,F39=F38,F39&gt;0),F38+(B38-B39)/K39,F39)</f>
        <v>0</v>
      </c>
      <c r="G40" s="62">
        <f>IF(AND(B39&lt;B38,G39=G38,G39&gt;0),G38+(B38-B39)/K39,G39)</f>
        <v>0</v>
      </c>
      <c r="H40" s="62">
        <f>IF(AND(B39&lt;B38,H39=H38,H39&gt;0),H38+(B38-B39)/K39,H39)</f>
        <v>0</v>
      </c>
      <c r="I40" s="110">
        <f>IF(AND(B39&lt;B38,I39=I38,I39&gt;0),I38+(B38-B39)/K39,I39)</f>
        <v>0</v>
      </c>
    </row>
    <row r="41" spans="1:11" hidden="1">
      <c r="A41" s="411"/>
      <c r="B41" s="62">
        <f t="shared" si="1"/>
        <v>0</v>
      </c>
      <c r="C41" s="62">
        <f>IF(Zusatzeingaben!$B$107&gt;0,C40,Zusatzeingaben!C114)</f>
        <v>0</v>
      </c>
      <c r="D41" s="62">
        <f>IF(Zusatzeingaben!$B$107&gt;0,D40,Zusatzeingaben!D114)</f>
        <v>0</v>
      </c>
      <c r="E41" s="62">
        <f>IF(Zusatzeingaben!$B$107&gt;0,E40,Zusatzeingaben!E114)</f>
        <v>0</v>
      </c>
      <c r="F41" s="62">
        <f>IF(Zusatzeingaben!$B$107&gt;0,F40,Zusatzeingaben!F114)</f>
        <v>0</v>
      </c>
      <c r="G41" s="62">
        <f>IF(Zusatzeingaben!$B$107&gt;0,G40,Zusatzeingaben!G114)</f>
        <v>0</v>
      </c>
      <c r="H41" s="62">
        <f>IF(Zusatzeingaben!$B$107&gt;0,H40,Zusatzeingaben!H114)</f>
        <v>0</v>
      </c>
      <c r="I41" s="110">
        <f>IF(Zusatzeingaben!$B$107&gt;0,I40,Zusatzeingaben!I114)</f>
        <v>0</v>
      </c>
    </row>
    <row r="42" spans="1:11">
      <c r="A42" s="409">
        <f>IF(B42&gt;0,"./. Kostenanteil für Haushaltsstrom",0)</f>
        <v>0</v>
      </c>
      <c r="B42" s="284">
        <f t="shared" si="1"/>
        <v>0</v>
      </c>
      <c r="C42" s="62">
        <f>IF(AND(Zusatzeingaben!$K$18&gt;0,Zusatzeingaben!$B$107&gt;0),C39,C41)</f>
        <v>0</v>
      </c>
      <c r="D42" s="62">
        <f>IF(AND(Zusatzeingaben!$K$18&gt;0,Zusatzeingaben!$B$107&gt;0),D39,D41)</f>
        <v>0</v>
      </c>
      <c r="E42" s="62">
        <f>IF(AND(Zusatzeingaben!$K$18&gt;0,Zusatzeingaben!$B$107&gt;0),E39,E41)</f>
        <v>0</v>
      </c>
      <c r="F42" s="62">
        <f>IF(AND(Zusatzeingaben!$K$18&gt;0,Zusatzeingaben!$B$107&gt;0),F39,F41)</f>
        <v>0</v>
      </c>
      <c r="G42" s="62">
        <f>IF(AND(Zusatzeingaben!$K$18&gt;0,Zusatzeingaben!$B$107&gt;0),G39,G41)</f>
        <v>0</v>
      </c>
      <c r="H42" s="62">
        <f>IF(AND(Zusatzeingaben!$K$18&gt;0,Zusatzeingaben!$B$107&gt;0),H39,H41)</f>
        <v>0</v>
      </c>
      <c r="I42" s="110">
        <f>IF(AND(Zusatzeingaben!$K$18&gt;0,Zusatzeingaben!$B$107&gt;0),I39,I41)</f>
        <v>0</v>
      </c>
    </row>
    <row r="43" spans="1:11" hidden="1">
      <c r="A43" s="411"/>
      <c r="B43" s="62">
        <f>Zusatzeingaben!C115</f>
        <v>0</v>
      </c>
      <c r="C43" s="62">
        <f>B43/B7</f>
        <v>0</v>
      </c>
      <c r="D43" s="62">
        <f>IF(D9=0,0,B43/B7)</f>
        <v>0</v>
      </c>
      <c r="E43" s="62">
        <f>IF(Zusatzeingaben!E33=0,0,B43/B7)</f>
        <v>0</v>
      </c>
      <c r="F43" s="62">
        <f>IF(Zusatzeingaben!F33=0,0,B43/B7)</f>
        <v>0</v>
      </c>
      <c r="G43" s="62">
        <f>IF(Zusatzeingaben!G33=0,0,B43/B7)</f>
        <v>0</v>
      </c>
      <c r="H43" s="62">
        <f>IF(Zusatzeingaben!H33=0,0,B43/B7)</f>
        <v>0</v>
      </c>
      <c r="I43" s="110">
        <f>IF(Zusatzeingaben!I33=0,0,B43/B7)</f>
        <v>0</v>
      </c>
    </row>
    <row r="44" spans="1:11" hidden="1">
      <c r="A44" s="409"/>
      <c r="B44" s="62">
        <f>SUM(C44:I44)</f>
        <v>0</v>
      </c>
      <c r="C44" s="62">
        <f>C43</f>
        <v>0</v>
      </c>
      <c r="D44" s="62">
        <f>D43</f>
        <v>0</v>
      </c>
      <c r="E44" s="62">
        <f>IF(Zusatzeingaben!E8&gt;Zusatzeingaben!E2,E43*Zusatzeingaben!E14/30,IF(Zusatzeingaben!E18=25,E43*Zusatzeingaben!E10/30,E43))</f>
        <v>0</v>
      </c>
      <c r="F44" s="62">
        <f>IF(Zusatzeingaben!F8&gt;Zusatzeingaben!E2,F43*Zusatzeingaben!F14/30,IF(Zusatzeingaben!F18=25,F43*Zusatzeingaben!F10/30,F43))</f>
        <v>0</v>
      </c>
      <c r="G44" s="62">
        <f>IF(Zusatzeingaben!G8&gt;Zusatzeingaben!E2,G43*Zusatzeingaben!G14/30,IF(Zusatzeingaben!G18=25,G43*Zusatzeingaben!G10/30,G43))</f>
        <v>0</v>
      </c>
      <c r="H44" s="62">
        <f>IF(Zusatzeingaben!H8&gt;Zusatzeingaben!E2,H43*Zusatzeingaben!H14/30,IF(Zusatzeingaben!H18=25,H43*Zusatzeingaben!H10/30,H43))</f>
        <v>0</v>
      </c>
      <c r="I44" s="110">
        <f>IF(Zusatzeingaben!I8&gt;Zusatzeingaben!E2,I43*Zusatzeingaben!I14/30,IF(Zusatzeingaben!I18=25,I43*Zusatzeingaben!I10/30,I43))</f>
        <v>0</v>
      </c>
      <c r="K44" s="359">
        <f>COUNTIF(C44:I44,C44)</f>
        <v>7</v>
      </c>
    </row>
    <row r="45" spans="1:11" hidden="1">
      <c r="A45" s="411"/>
      <c r="B45" s="62">
        <f>SUM(C45:I45)</f>
        <v>0</v>
      </c>
      <c r="C45" s="62">
        <f>IF(AND(B44&lt;B43,C44=C43,C44&gt;0),C43+(B43-B44)/K44,C44)</f>
        <v>0</v>
      </c>
      <c r="D45" s="62">
        <f>IF(AND(B44&lt;B43,D44=D43,D44&gt;0),D43+(B43-B44)/K44,D44)</f>
        <v>0</v>
      </c>
      <c r="E45" s="62">
        <f>IF(AND(B44&lt;B43,E44=E43,E44&gt;0),E43+(B43-B44)/K44,E44)</f>
        <v>0</v>
      </c>
      <c r="F45" s="62">
        <f>IF(AND(B44&lt;B43,F44=F43,F44&gt;0),F43+(B43-B44)/K44,F44)</f>
        <v>0</v>
      </c>
      <c r="G45" s="62">
        <f>IF(AND(B44&lt;B43,G44=G43,G44&gt;0),G43+(B43-B44)/K44,G44)</f>
        <v>0</v>
      </c>
      <c r="H45" s="62">
        <f>IF(AND(B44&lt;B43,H44=H43,H44&gt;0),H43+(B43-B44)/K44,H44)</f>
        <v>0</v>
      </c>
      <c r="I45" s="110">
        <f>IF(AND(B44&lt;B43,I44=I43,I44&gt;0),I43+(B43-B44)/K44,I44)</f>
        <v>0</v>
      </c>
    </row>
    <row r="46" spans="1:11">
      <c r="A46" s="409">
        <f>IF(B46&gt;0,"Heizkosten",0)</f>
        <v>0</v>
      </c>
      <c r="B46" s="284">
        <f>SUM(C46:I46)</f>
        <v>0</v>
      </c>
      <c r="C46" s="62">
        <f>IF(Zusatzeingaben!$K$18&gt;0,C44,C45)</f>
        <v>0</v>
      </c>
      <c r="D46" s="62">
        <f>IF(Zusatzeingaben!$K$18&gt;0,D44,D45)</f>
        <v>0</v>
      </c>
      <c r="E46" s="62">
        <f>IF(Zusatzeingaben!$K$18&gt;0,E44,E45)</f>
        <v>0</v>
      </c>
      <c r="F46" s="62">
        <f>IF(Zusatzeingaben!$K$18&gt;0,F44,F45)</f>
        <v>0</v>
      </c>
      <c r="G46" s="62">
        <f>IF(Zusatzeingaben!$K$18&gt;0,G44,G45)</f>
        <v>0</v>
      </c>
      <c r="H46" s="62">
        <f>IF(Zusatzeingaben!$K$18&gt;0,H44,H45)</f>
        <v>0</v>
      </c>
      <c r="I46" s="110">
        <f>IF(Zusatzeingaben!$K$18&gt;0,I44,I45)</f>
        <v>0</v>
      </c>
    </row>
    <row r="47" spans="1:11" hidden="1">
      <c r="A47" s="230" t="s">
        <v>41</v>
      </c>
      <c r="B47" s="209">
        <f>B24-B29+B33+B37-B42+B46</f>
        <v>0</v>
      </c>
      <c r="C47" s="209">
        <f t="shared" ref="C47:I47" si="2">C24-C29+C33+C37-C42+C46</f>
        <v>0</v>
      </c>
      <c r="D47" s="209">
        <f t="shared" si="2"/>
        <v>0</v>
      </c>
      <c r="E47" s="209">
        <f t="shared" si="2"/>
        <v>0</v>
      </c>
      <c r="F47" s="209">
        <f t="shared" si="2"/>
        <v>0</v>
      </c>
      <c r="G47" s="209">
        <f t="shared" si="2"/>
        <v>0</v>
      </c>
      <c r="H47" s="209">
        <f t="shared" si="2"/>
        <v>0</v>
      </c>
      <c r="I47" s="406">
        <f t="shared" si="2"/>
        <v>0</v>
      </c>
    </row>
    <row r="48" spans="1:11" ht="17.25" customHeight="1">
      <c r="A48" s="231">
        <f>IF(B49&gt;0,"Sonstiger Bedarf",0)</f>
        <v>0</v>
      </c>
      <c r="B48" s="13"/>
      <c r="C48" s="207"/>
      <c r="D48" s="207"/>
      <c r="E48" s="207"/>
      <c r="F48" s="207"/>
      <c r="G48" s="207"/>
      <c r="H48" s="207"/>
      <c r="I48" s="227"/>
    </row>
    <row r="49" spans="1:9" ht="16.5" customHeight="1" thickBot="1">
      <c r="A49" s="232">
        <f>IF(B49&gt;0,Zusatzeingaben!A117,0)</f>
        <v>0</v>
      </c>
      <c r="B49" s="210">
        <f>SUM(C49:I49)</f>
        <v>0</v>
      </c>
      <c r="C49" s="211">
        <f>Zusatzeingaben!C117</f>
        <v>0</v>
      </c>
      <c r="D49" s="211">
        <f>Zusatzeingaben!D117</f>
        <v>0</v>
      </c>
      <c r="E49" s="211">
        <f>Zusatzeingaben!E117</f>
        <v>0</v>
      </c>
      <c r="F49" s="211">
        <f>Zusatzeingaben!F117</f>
        <v>0</v>
      </c>
      <c r="G49" s="211">
        <f>Zusatzeingaben!G117</f>
        <v>0</v>
      </c>
      <c r="H49" s="211">
        <f>Zusatzeingaben!H117</f>
        <v>0</v>
      </c>
      <c r="I49" s="233">
        <f>Zusatzeingaben!I117</f>
        <v>0</v>
      </c>
    </row>
    <row r="50" spans="1:9" ht="23.25" customHeight="1" thickTop="1" thickBot="1">
      <c r="A50" s="343" t="s">
        <v>21</v>
      </c>
      <c r="B50" s="282">
        <f>SUM(C50:I50)</f>
        <v>416</v>
      </c>
      <c r="C50" s="282">
        <f t="shared" ref="C50:I50" si="3">C11+C13+C14+C15+C16+C17+C18+C19+C47+C49</f>
        <v>416</v>
      </c>
      <c r="D50" s="282">
        <f t="shared" si="3"/>
        <v>0</v>
      </c>
      <c r="E50" s="282">
        <f t="shared" si="3"/>
        <v>0</v>
      </c>
      <c r="F50" s="282">
        <f t="shared" si="3"/>
        <v>0</v>
      </c>
      <c r="G50" s="282">
        <f t="shared" si="3"/>
        <v>0</v>
      </c>
      <c r="H50" s="282">
        <f t="shared" si="3"/>
        <v>0</v>
      </c>
      <c r="I50" s="283">
        <f t="shared" si="3"/>
        <v>0</v>
      </c>
    </row>
    <row r="51" spans="1:9" ht="21" customHeight="1" thickBot="1">
      <c r="C51" s="173">
        <f>VLOOKUP(E3,Bedarfssätze!B7:C14,2)</f>
        <v>391</v>
      </c>
      <c r="D51" s="173">
        <f>VLOOKUP(E3,Bedarfssätze!E7:F14,2)</f>
        <v>353</v>
      </c>
      <c r="E51" s="173">
        <f>VLOOKUP(E3,Bedarfssätze!B25:C32,2)</f>
        <v>296</v>
      </c>
      <c r="F51" s="173">
        <f>VLOOKUP(E3,Bedarfssätze!E25:F32,2)</f>
        <v>261</v>
      </c>
      <c r="G51" s="173">
        <f>VLOOKUP(E3,Bedarfssätze!H25:I32,2)</f>
        <v>229</v>
      </c>
      <c r="H51" s="173">
        <f>VLOOKUP(E3,Bedarfssätze!H7:I14,2)</f>
        <v>313</v>
      </c>
    </row>
    <row r="52" spans="1:9" ht="23.25">
      <c r="A52" s="221"/>
      <c r="B52" s="345" t="s">
        <v>22</v>
      </c>
      <c r="C52" s="222"/>
      <c r="D52" s="222"/>
      <c r="E52" s="222"/>
      <c r="F52" s="222"/>
      <c r="G52" s="222"/>
      <c r="H52" s="222"/>
      <c r="I52" s="223"/>
    </row>
    <row r="53" spans="1:9" ht="17.25" customHeight="1">
      <c r="A53" s="224"/>
      <c r="B53" s="341" t="s">
        <v>1</v>
      </c>
      <c r="C53" s="341" t="str">
        <f>Zusatzeingaben!C4</f>
        <v>Antragsteller</v>
      </c>
      <c r="D53" s="341" t="str">
        <f>Zusatzeingaben!D4</f>
        <v>Partner(in)</v>
      </c>
      <c r="E53" s="341" t="str">
        <f>Zusatzeingaben!E4</f>
        <v>Kind 1</v>
      </c>
      <c r="F53" s="341" t="s">
        <v>8</v>
      </c>
      <c r="G53" s="341" t="s">
        <v>9</v>
      </c>
      <c r="H53" s="341" t="s">
        <v>10</v>
      </c>
      <c r="I53" s="342" t="s">
        <v>34</v>
      </c>
    </row>
    <row r="54" spans="1:9">
      <c r="A54" s="231" t="s">
        <v>54</v>
      </c>
      <c r="B54" s="208">
        <f>SUM(C54:I54)</f>
        <v>0</v>
      </c>
      <c r="C54" s="13">
        <f>Zusatzeingaben!C140+einmaligesEK!C14</f>
        <v>0</v>
      </c>
      <c r="D54" s="13">
        <f>Zusatzeingaben!D140+einmaligesEK!D14</f>
        <v>0</v>
      </c>
      <c r="E54" s="13">
        <f>Zusatzeingaben!E140+einmaligesEK!E14</f>
        <v>0</v>
      </c>
      <c r="F54" s="13">
        <f>Zusatzeingaben!F140+einmaligesEK!F14</f>
        <v>0</v>
      </c>
      <c r="G54" s="13">
        <f>Zusatzeingaben!G140+einmaligesEK!G14</f>
        <v>0</v>
      </c>
      <c r="H54" s="13">
        <f>Zusatzeingaben!H140+einmaligesEK!H14</f>
        <v>0</v>
      </c>
      <c r="I54" s="13">
        <f>Zusatzeingaben!I140+einmaligesEK!I14</f>
        <v>0</v>
      </c>
    </row>
    <row r="55" spans="1:9">
      <c r="A55" s="412">
        <f>IF(B55&gt;0,"Nettolohn/Einmalzahlung",0)</f>
        <v>0</v>
      </c>
      <c r="B55" s="284">
        <f>SUM(C55:I55)</f>
        <v>0</v>
      </c>
      <c r="C55" s="62">
        <f>Zusatzeingaben!C133+einmaligesEK!C15</f>
        <v>0</v>
      </c>
      <c r="D55" s="62">
        <f>Zusatzeingaben!D133+einmaligesEK!D15</f>
        <v>0</v>
      </c>
      <c r="E55" s="62">
        <f>Zusatzeingaben!E133+einmaligesEK!E15</f>
        <v>0</v>
      </c>
      <c r="F55" s="62">
        <f>Zusatzeingaben!F133+einmaligesEK!F15</f>
        <v>0</v>
      </c>
      <c r="G55" s="62">
        <f>Zusatzeingaben!G133+einmaligesEK!G15</f>
        <v>0</v>
      </c>
      <c r="H55" s="62">
        <f>Zusatzeingaben!H133+einmaligesEK!H15</f>
        <v>0</v>
      </c>
      <c r="I55" s="62">
        <f>Zusatzeingaben!I133+einmaligesEK!I15</f>
        <v>0</v>
      </c>
    </row>
    <row r="56" spans="1:9">
      <c r="A56" s="408">
        <f>IF(B56&gt;0,"Ausbildungsvergütung (netto)",0)</f>
        <v>0</v>
      </c>
      <c r="B56" s="284">
        <f t="shared" ref="B56:B70" si="4">SUM(C56:I56)</f>
        <v>0</v>
      </c>
      <c r="C56" s="62">
        <f>Zusatzeingaben!C137</f>
        <v>0</v>
      </c>
      <c r="D56" s="62">
        <f>Zusatzeingaben!D137</f>
        <v>0</v>
      </c>
      <c r="E56" s="62">
        <f>Zusatzeingaben!E137</f>
        <v>0</v>
      </c>
      <c r="F56" s="62">
        <f>Zusatzeingaben!F137</f>
        <v>0</v>
      </c>
      <c r="G56" s="62">
        <f>Zusatzeingaben!G137</f>
        <v>0</v>
      </c>
      <c r="H56" s="62">
        <f>Zusatzeingaben!H137</f>
        <v>0</v>
      </c>
      <c r="I56" s="110">
        <f>Zusatzeingaben!I137</f>
        <v>0</v>
      </c>
    </row>
    <row r="57" spans="1:9">
      <c r="A57" s="408">
        <f>IF(B57&gt;0,Zusatzeingaben!A139,0)</f>
        <v>0</v>
      </c>
      <c r="B57" s="284">
        <f t="shared" si="4"/>
        <v>0</v>
      </c>
      <c r="C57" s="62">
        <f>Zusatzeingaben!C139</f>
        <v>0</v>
      </c>
      <c r="D57" s="62">
        <f>Zusatzeingaben!D139</f>
        <v>0</v>
      </c>
      <c r="E57" s="62">
        <f>Zusatzeingaben!E139</f>
        <v>0</v>
      </c>
      <c r="F57" s="62">
        <f>Zusatzeingaben!F139</f>
        <v>0</v>
      </c>
      <c r="G57" s="62">
        <f>Zusatzeingaben!G139</f>
        <v>0</v>
      </c>
      <c r="H57" s="62">
        <f>Zusatzeingaben!H139</f>
        <v>0</v>
      </c>
      <c r="I57" s="110">
        <f>Zusatzeingaben!I139</f>
        <v>0</v>
      </c>
    </row>
    <row r="58" spans="1:9">
      <c r="A58" s="408">
        <f>IF(B58&gt;0,"steuerfreie Einnahmen Ehrenamt o.ä.",0)</f>
        <v>0</v>
      </c>
      <c r="B58" s="284">
        <f t="shared" si="4"/>
        <v>0</v>
      </c>
      <c r="C58" s="62">
        <f>Zusatzeingaben!C138</f>
        <v>0</v>
      </c>
      <c r="D58" s="62">
        <f>Zusatzeingaben!D138</f>
        <v>0</v>
      </c>
      <c r="E58" s="62">
        <f>Zusatzeingaben!E138</f>
        <v>0</v>
      </c>
      <c r="F58" s="62">
        <f>Zusatzeingaben!F138</f>
        <v>0</v>
      </c>
      <c r="G58" s="62">
        <f>Zusatzeingaben!G138</f>
        <v>0</v>
      </c>
      <c r="H58" s="62">
        <f>Zusatzeingaben!H138</f>
        <v>0</v>
      </c>
      <c r="I58" s="110">
        <f>Zusatzeingaben!I138</f>
        <v>0</v>
      </c>
    </row>
    <row r="59" spans="1:9">
      <c r="A59" s="408">
        <f>IF(B59&gt;0,"Einkommen aus Freiwilligendienste",0)</f>
        <v>0</v>
      </c>
      <c r="B59" s="284">
        <f t="shared" si="4"/>
        <v>0</v>
      </c>
      <c r="C59" s="62">
        <f>Zusatzeingaben!C170</f>
        <v>0</v>
      </c>
      <c r="D59" s="62">
        <f>Zusatzeingaben!D170</f>
        <v>0</v>
      </c>
      <c r="E59" s="62">
        <f>Zusatzeingaben!E170</f>
        <v>0</v>
      </c>
      <c r="F59" s="62">
        <f>Zusatzeingaben!F170</f>
        <v>0</v>
      </c>
      <c r="G59" s="62">
        <f>Zusatzeingaben!G170</f>
        <v>0</v>
      </c>
      <c r="H59" s="62">
        <f>Zusatzeingaben!H170</f>
        <v>0</v>
      </c>
      <c r="I59" s="110">
        <f>Zusatzeingaben!I170</f>
        <v>0</v>
      </c>
    </row>
    <row r="60" spans="1:9">
      <c r="A60" s="408">
        <f>IF(B60&gt;0,"Elterngeld",0)</f>
        <v>0</v>
      </c>
      <c r="B60" s="284">
        <f t="shared" si="4"/>
        <v>0</v>
      </c>
      <c r="C60" s="62">
        <f>Zusatzeingaben!C174</f>
        <v>0</v>
      </c>
      <c r="D60" s="62">
        <f>Zusatzeingaben!D174</f>
        <v>0</v>
      </c>
      <c r="E60" s="62"/>
      <c r="F60" s="62"/>
      <c r="G60" s="62"/>
      <c r="H60" s="62"/>
      <c r="I60" s="110"/>
    </row>
    <row r="61" spans="1:9">
      <c r="A61" s="408">
        <f>IF(B61&gt;0,Zusatzeingaben!A180,0)</f>
        <v>0</v>
      </c>
      <c r="B61" s="284">
        <f t="shared" si="4"/>
        <v>0</v>
      </c>
      <c r="C61" s="62">
        <f>Zusatzeingaben!C180</f>
        <v>0</v>
      </c>
      <c r="D61" s="62">
        <f>Zusatzeingaben!D180</f>
        <v>0</v>
      </c>
      <c r="E61" s="62">
        <f>Zusatzeingaben!E180</f>
        <v>0</v>
      </c>
      <c r="F61" s="62">
        <f>Zusatzeingaben!F180</f>
        <v>0</v>
      </c>
      <c r="G61" s="62"/>
      <c r="H61" s="62"/>
      <c r="I61" s="110"/>
    </row>
    <row r="62" spans="1:9">
      <c r="A62" s="408">
        <f>IF(B62&gt;0,"Kindergeld",0)</f>
        <v>0</v>
      </c>
      <c r="B62" s="284">
        <f t="shared" si="4"/>
        <v>0</v>
      </c>
      <c r="C62" s="62">
        <f>Zusatzeingaben!C192</f>
        <v>0</v>
      </c>
      <c r="D62" s="62">
        <f>Zusatzeingaben!D192</f>
        <v>0</v>
      </c>
      <c r="E62" s="62">
        <f>Zusatzeingaben!E192</f>
        <v>0</v>
      </c>
      <c r="F62" s="62">
        <f>Zusatzeingaben!F192</f>
        <v>0</v>
      </c>
      <c r="G62" s="62">
        <f>Zusatzeingaben!G192</f>
        <v>0</v>
      </c>
      <c r="H62" s="62">
        <f>Zusatzeingaben!H192</f>
        <v>0</v>
      </c>
      <c r="I62" s="110">
        <f>Zusatzeingaben!I192</f>
        <v>0</v>
      </c>
    </row>
    <row r="63" spans="1:9">
      <c r="A63" s="408">
        <f>IF(B63&gt;0,"Unterhalt/Unterhaltsvorschuss",0)</f>
        <v>0</v>
      </c>
      <c r="B63" s="284">
        <f t="shared" si="4"/>
        <v>0</v>
      </c>
      <c r="C63" s="62">
        <f>Zusatzeingaben!C195</f>
        <v>0</v>
      </c>
      <c r="D63" s="62">
        <f>Zusatzeingaben!D195</f>
        <v>0</v>
      </c>
      <c r="E63" s="62">
        <f>Zusatzeingaben!E195</f>
        <v>0</v>
      </c>
      <c r="F63" s="62">
        <f>Zusatzeingaben!F195</f>
        <v>0</v>
      </c>
      <c r="G63" s="62">
        <f>Zusatzeingaben!G195</f>
        <v>0</v>
      </c>
      <c r="H63" s="62">
        <f>Zusatzeingaben!H195</f>
        <v>0</v>
      </c>
      <c r="I63" s="110">
        <f>Zusatzeingaben!I195</f>
        <v>0</v>
      </c>
    </row>
    <row r="64" spans="1:9">
      <c r="A64" s="408">
        <f>IF(B64&gt;0,Zusatzeingaben!A196,0)</f>
        <v>0</v>
      </c>
      <c r="B64" s="284">
        <f t="shared" si="4"/>
        <v>0</v>
      </c>
      <c r="C64" s="62">
        <f>Zusatzeingaben!C196</f>
        <v>0</v>
      </c>
      <c r="D64" s="62">
        <f>Zusatzeingaben!D196</f>
        <v>0</v>
      </c>
      <c r="E64" s="62">
        <f>Zusatzeingaben!E196</f>
        <v>0</v>
      </c>
      <c r="F64" s="62">
        <f>Zusatzeingaben!F196</f>
        <v>0</v>
      </c>
      <c r="G64" s="62">
        <f>Zusatzeingaben!G196</f>
        <v>0</v>
      </c>
      <c r="H64" s="62">
        <f>Zusatzeingaben!H196</f>
        <v>0</v>
      </c>
      <c r="I64" s="110">
        <f>Zusatzeingaben!I196</f>
        <v>0</v>
      </c>
    </row>
    <row r="65" spans="1:9">
      <c r="A65" s="408">
        <f>IF(B65&gt;0,"Altersrente",0)</f>
        <v>0</v>
      </c>
      <c r="B65" s="284">
        <f t="shared" si="4"/>
        <v>0</v>
      </c>
      <c r="C65" s="62">
        <f>Zusatzeingaben!C197</f>
        <v>0</v>
      </c>
      <c r="D65" s="62">
        <f>Zusatzeingaben!D197</f>
        <v>0</v>
      </c>
      <c r="E65" s="62">
        <f>Zusatzeingaben!E197</f>
        <v>0</v>
      </c>
      <c r="F65" s="62">
        <f>Zusatzeingaben!F197</f>
        <v>0</v>
      </c>
      <c r="G65" s="62">
        <f>Zusatzeingaben!G197</f>
        <v>0</v>
      </c>
      <c r="H65" s="62">
        <f>Zusatzeingaben!H197</f>
        <v>0</v>
      </c>
      <c r="I65" s="110">
        <f>Zusatzeingaben!I197</f>
        <v>0</v>
      </c>
    </row>
    <row r="66" spans="1:9">
      <c r="A66" s="408">
        <f>IF(B66&gt;0,Zusatzeingaben!A198,0)</f>
        <v>0</v>
      </c>
      <c r="B66" s="284">
        <f t="shared" si="4"/>
        <v>0</v>
      </c>
      <c r="C66" s="62">
        <f>Zusatzeingaben!C198</f>
        <v>0</v>
      </c>
      <c r="D66" s="62">
        <f>Zusatzeingaben!D198</f>
        <v>0</v>
      </c>
      <c r="E66" s="62">
        <f>Zusatzeingaben!E198</f>
        <v>0</v>
      </c>
      <c r="F66" s="62">
        <f>Zusatzeingaben!F198</f>
        <v>0</v>
      </c>
      <c r="G66" s="62">
        <f>Zusatzeingaben!G198</f>
        <v>0</v>
      </c>
      <c r="H66" s="62">
        <f>Zusatzeingaben!H198</f>
        <v>0</v>
      </c>
      <c r="I66" s="110">
        <f>Zusatzeingaben!I198</f>
        <v>0</v>
      </c>
    </row>
    <row r="67" spans="1:9" hidden="1">
      <c r="A67" s="408"/>
      <c r="B67" s="284">
        <f t="shared" si="4"/>
        <v>0</v>
      </c>
      <c r="C67" s="62"/>
      <c r="D67" s="62"/>
      <c r="E67" s="62"/>
      <c r="F67" s="62"/>
      <c r="G67" s="62"/>
      <c r="H67" s="62"/>
      <c r="I67" s="110"/>
    </row>
    <row r="68" spans="1:9" ht="16.5" customHeight="1" thickBot="1">
      <c r="A68" s="413">
        <f>IF(B68&gt;0,"sonst. EK/Einmalzahlung",0)</f>
        <v>0</v>
      </c>
      <c r="B68" s="285">
        <f t="shared" si="4"/>
        <v>0</v>
      </c>
      <c r="C68" s="286">
        <f>Zusatzeingaben!C199+einmaligesEK!C11</f>
        <v>0</v>
      </c>
      <c r="D68" s="286">
        <f>Zusatzeingaben!D199+einmaligesEK!D11</f>
        <v>0</v>
      </c>
      <c r="E68" s="286">
        <f>Zusatzeingaben!E199+einmaligesEK!E11</f>
        <v>0</v>
      </c>
      <c r="F68" s="286">
        <f>Zusatzeingaben!F199+einmaligesEK!F11</f>
        <v>0</v>
      </c>
      <c r="G68" s="286">
        <f>Zusatzeingaben!G199+einmaligesEK!G11</f>
        <v>0</v>
      </c>
      <c r="H68" s="286">
        <f>Zusatzeingaben!H199+einmaligesEK!H11</f>
        <v>0</v>
      </c>
      <c r="I68" s="286">
        <f>Zusatzeingaben!I199+einmaligesEK!I11</f>
        <v>0</v>
      </c>
    </row>
    <row r="69" spans="1:9" ht="18" hidden="1" thickTop="1" thickBot="1">
      <c r="A69" s="262"/>
      <c r="B69" s="288"/>
      <c r="C69" s="132">
        <f>SUM(C60:C68)</f>
        <v>0</v>
      </c>
      <c r="D69" s="132">
        <f t="shared" ref="D69:I69" si="5">SUM(D60:D68)</f>
        <v>0</v>
      </c>
      <c r="E69" s="132">
        <f t="shared" si="5"/>
        <v>0</v>
      </c>
      <c r="F69" s="132">
        <f t="shared" si="5"/>
        <v>0</v>
      </c>
      <c r="G69" s="132">
        <f t="shared" si="5"/>
        <v>0</v>
      </c>
      <c r="H69" s="132">
        <f t="shared" si="5"/>
        <v>0</v>
      </c>
      <c r="I69" s="133">
        <f t="shared" si="5"/>
        <v>0</v>
      </c>
    </row>
    <row r="70" spans="1:9" ht="18" thickTop="1" thickBot="1">
      <c r="A70" s="242" t="s">
        <v>26</v>
      </c>
      <c r="B70" s="289">
        <f t="shared" si="4"/>
        <v>0</v>
      </c>
      <c r="C70" s="290">
        <f t="shared" ref="C70:I70" si="6">SUM(C55:C68)</f>
        <v>0</v>
      </c>
      <c r="D70" s="290">
        <f t="shared" si="6"/>
        <v>0</v>
      </c>
      <c r="E70" s="290">
        <f t="shared" si="6"/>
        <v>0</v>
      </c>
      <c r="F70" s="290">
        <f t="shared" si="6"/>
        <v>0</v>
      </c>
      <c r="G70" s="290">
        <f t="shared" si="6"/>
        <v>0</v>
      </c>
      <c r="H70" s="290">
        <f t="shared" si="6"/>
        <v>0</v>
      </c>
      <c r="I70" s="291">
        <f t="shared" si="6"/>
        <v>0</v>
      </c>
    </row>
    <row r="71" spans="1:9" ht="16.5" hidden="1" customHeight="1">
      <c r="A71" s="411"/>
      <c r="B71" s="62"/>
      <c r="C71" s="128">
        <f>IF(AND(Zusatzeingaben!C161&gt;0,Zusatzeingaben!C164=Zusatzeingaben!C161),0,Zusatzeingaben!C203)</f>
        <v>0</v>
      </c>
      <c r="D71" s="128">
        <f>IF(AND(Zusatzeingaben!D161&gt;0,Zusatzeingaben!D164=Zusatzeingaben!D161),0,Zusatzeingaben!D203)</f>
        <v>0</v>
      </c>
      <c r="E71" s="128">
        <f>IF(AND(Zusatzeingaben!E161&gt;0,Zusatzeingaben!E164=Zusatzeingaben!E161),0,Zusatzeingaben!E203)</f>
        <v>0</v>
      </c>
      <c r="F71" s="128">
        <f>IF(AND(Zusatzeingaben!F161&gt;0,Zusatzeingaben!F164=Zusatzeingaben!F161),0,Zusatzeingaben!F203)</f>
        <v>0</v>
      </c>
      <c r="G71" s="128">
        <f>IF(AND(Zusatzeingaben!G161&gt;0,Zusatzeingaben!G164=Zusatzeingaben!G161),0,Zusatzeingaben!G203)</f>
        <v>0</v>
      </c>
      <c r="H71" s="128">
        <f>IF(AND(Zusatzeingaben!H161&gt;0,Zusatzeingaben!H164=Zusatzeingaben!H161),0,Zusatzeingaben!H203)</f>
        <v>0</v>
      </c>
      <c r="I71" s="190">
        <f>IF(AND(Zusatzeingaben!I161&gt;0,Zusatzeingaben!I164=Zusatzeingaben!I161),0,Zusatzeingaben!I203)</f>
        <v>0</v>
      </c>
    </row>
    <row r="72" spans="1:9" ht="16.5" hidden="1" customHeight="1">
      <c r="A72" s="411"/>
      <c r="B72" s="62"/>
      <c r="C72" s="128">
        <f>IF(AND(Zusatzeingaben!C215&gt;C113,C78&lt;0),C71+C78,C71)</f>
        <v>0</v>
      </c>
      <c r="D72" s="128">
        <f>IF(AND(Zusatzeingaben!D215&gt;D113,D78&lt;0),D71+D78,D71)</f>
        <v>0</v>
      </c>
      <c r="E72" s="128">
        <f>IF(AND(Zusatzeingaben!E215&gt;E113,E78&lt;0),E71+E78,E71)</f>
        <v>0</v>
      </c>
      <c r="F72" s="128">
        <f>IF(AND(Zusatzeingaben!F215&gt;F113,F78&lt;0),F71+F78,F71)</f>
        <v>0</v>
      </c>
      <c r="G72" s="128">
        <f>IF(AND(Zusatzeingaben!G215&gt;G113,G78&lt;0),G71+G78,G71)</f>
        <v>0</v>
      </c>
      <c r="H72" s="128">
        <f>IF(AND(Zusatzeingaben!H215&gt;H113,H78&lt;0),H71+H78,H71)</f>
        <v>0</v>
      </c>
      <c r="I72" s="190">
        <f>IF(AND(Zusatzeingaben!I215&gt;I113,I78&lt;0),I71+I78,I71)</f>
        <v>0</v>
      </c>
    </row>
    <row r="73" spans="1:9" ht="16.5" hidden="1" customHeight="1">
      <c r="A73" s="411"/>
      <c r="B73" s="62"/>
      <c r="C73" s="128">
        <f>IF(AND(C113&gt;0,Zusatzeingaben!C215&lt;C113),0,C72)</f>
        <v>0</v>
      </c>
      <c r="D73" s="128">
        <f>IF(AND(D113&gt;0,Zusatzeingaben!D215&lt;D113),0,D72)</f>
        <v>0</v>
      </c>
      <c r="E73" s="128">
        <f>IF(AND(E113&gt;0,Zusatzeingaben!E215&lt;E113),0,E72)</f>
        <v>0</v>
      </c>
      <c r="F73" s="128">
        <f>IF(AND(F113&gt;0,Zusatzeingaben!F215&lt;F113),0,F72)</f>
        <v>0</v>
      </c>
      <c r="G73" s="128">
        <f>IF(AND(G113&gt;0,Zusatzeingaben!G215&lt;G113),0,G72)</f>
        <v>0</v>
      </c>
      <c r="H73" s="128">
        <f>IF(AND(H113&gt;0,Zusatzeingaben!H215&lt;H113),0,H72)</f>
        <v>0</v>
      </c>
      <c r="I73" s="190">
        <f>IF(AND(I113&gt;0,Zusatzeingaben!I215&lt;I113),0,I72)</f>
        <v>0</v>
      </c>
    </row>
    <row r="74" spans="1:9" ht="16.5" hidden="1" customHeight="1">
      <c r="A74" s="411"/>
      <c r="B74" s="62"/>
      <c r="C74" s="128">
        <f>IF(C113=0,Zusatzeingaben!C203,0)</f>
        <v>0</v>
      </c>
      <c r="D74" s="128">
        <f>IF(D113=0,Zusatzeingaben!D203,0)</f>
        <v>0</v>
      </c>
      <c r="E74" s="128">
        <f>IF(E113=0,Zusatzeingaben!E203,0)</f>
        <v>0</v>
      </c>
      <c r="F74" s="128">
        <f>IF(F113=0,Zusatzeingaben!F203,0)</f>
        <v>0</v>
      </c>
      <c r="G74" s="128">
        <f>IF(G113=0,Zusatzeingaben!G203,0)</f>
        <v>0</v>
      </c>
      <c r="H74" s="128">
        <f>IF(H113=0,Zusatzeingaben!H203,0)</f>
        <v>0</v>
      </c>
      <c r="I74" s="190">
        <f>IF(I113=0,Zusatzeingaben!I203,0)</f>
        <v>0</v>
      </c>
    </row>
    <row r="75" spans="1:9" ht="16.5" hidden="1" customHeight="1">
      <c r="A75" s="411"/>
      <c r="B75" s="298"/>
      <c r="C75" s="132">
        <f>IF(C74=30,C74,C73)</f>
        <v>0</v>
      </c>
      <c r="D75" s="132">
        <f t="shared" ref="D75:I75" si="7">IF(D74=30,D74,D73)</f>
        <v>0</v>
      </c>
      <c r="E75" s="132">
        <f t="shared" si="7"/>
        <v>0</v>
      </c>
      <c r="F75" s="132">
        <f t="shared" si="7"/>
        <v>0</v>
      </c>
      <c r="G75" s="132">
        <f t="shared" si="7"/>
        <v>0</v>
      </c>
      <c r="H75" s="132">
        <f t="shared" si="7"/>
        <v>0</v>
      </c>
      <c r="I75" s="133">
        <f t="shared" si="7"/>
        <v>0</v>
      </c>
    </row>
    <row r="76" spans="1:9">
      <c r="A76" s="414">
        <f>IF(B76&gt;0,"./. Versicherungspauschale",0)</f>
        <v>0</v>
      </c>
      <c r="B76" s="292">
        <f>SUM(C76:I76)</f>
        <v>0</v>
      </c>
      <c r="C76" s="715">
        <f>IF(C70=0,0,IF(C75&lt;0,0,IF(AND(C114&gt;0,C54&lt;=400),0,IF(AND(C114&gt;0,Zusatzeingaben!C141=0),0,IF(AND(C61&gt;0,C120=Zusatzeingaben!C189,Zusatzeingaben!C189&gt;0),0,C75)))))</f>
        <v>0</v>
      </c>
      <c r="D76" s="715">
        <f>IF(D70=0,0,IF(D75&lt;0,0,IF(AND(D114&gt;0,D54&lt;=400),0,IF(AND(D114&gt;0,Zusatzeingaben!D141=0),0,IF(AND(D61&gt;0,D120=Zusatzeingaben!D189,Zusatzeingaben!D189&gt;0),0,D75)))))</f>
        <v>0</v>
      </c>
      <c r="E76" s="715">
        <f>IF(E70=0,0,IF(E75&lt;0,0,IF(AND(E114&gt;0,E54&lt;=400),0,IF(AND(E114&gt;0,Zusatzeingaben!E141=0),0,IF(AND(E61&gt;0,E120=Zusatzeingaben!E189,Zusatzeingaben!E189&gt;0),0,E75)))))</f>
        <v>0</v>
      </c>
      <c r="F76" s="715">
        <f>IF(F70=0,0,IF(F75&lt;0,0,IF(AND(F114&gt;0,F54&lt;=400),0,IF(AND(F114&gt;0,Zusatzeingaben!F141=0),0,IF(AND(F61&gt;0,F120=Zusatzeingaben!F189,Zusatzeingaben!F189&gt;0),0,F75)))))</f>
        <v>0</v>
      </c>
      <c r="G76" s="715">
        <f>IF(G70=0,0,IF(G75&lt;0,0,IF(AND(G114&gt;0,G54&lt;=400),0,IF(AND(G114&gt;0,Zusatzeingaben!G141=0),0,IF(AND(G61&gt;0,G120=Zusatzeingaben!G189,Zusatzeingaben!G189&gt;0),0,G75)))))</f>
        <v>0</v>
      </c>
      <c r="H76" s="715">
        <f>IF(H70=0,0,IF(H75&lt;0,0,IF(AND(H114&gt;0,H54&lt;=400),0,IF(AND(H114&gt;0,Zusatzeingaben!H141=0),0,IF(AND(H61&gt;0,H120=Zusatzeingaben!H189,Zusatzeingaben!H189&gt;0),0,H75)))))</f>
        <v>0</v>
      </c>
      <c r="I76" s="716">
        <f>IF(I70=0,0,IF(I75&lt;0,0,IF(AND(I114&gt;0,I54&lt;=400),0,IF(AND(I114&gt;0,Zusatzeingaben!I141=0),0,IF(AND(I61&gt;0,I120=Zusatzeingaben!I189,Zusatzeingaben!I189&gt;0),0,I75)))))</f>
        <v>0</v>
      </c>
    </row>
    <row r="77" spans="1:9" hidden="1">
      <c r="A77" s="411"/>
      <c r="B77" s="62"/>
      <c r="C77" s="128">
        <f>IF(AND(Zusatzeingaben!C161&gt;0,Zusatzeingaben!C164=Zusatzeingaben!C161),0,Zusatzeingaben!C204-Zusatzeingaben!C161)</f>
        <v>0</v>
      </c>
      <c r="D77" s="128">
        <f>IF(AND(Zusatzeingaben!D161&gt;0,Zusatzeingaben!D164=Zusatzeingaben!D161),0,Zusatzeingaben!D204-Zusatzeingaben!D161)</f>
        <v>0</v>
      </c>
      <c r="E77" s="128">
        <f>IF(AND(Zusatzeingaben!E161&gt;0,Zusatzeingaben!E164=Zusatzeingaben!E161),0,Zusatzeingaben!E204-Zusatzeingaben!E161)</f>
        <v>0</v>
      </c>
      <c r="F77" s="128">
        <f>IF(AND(Zusatzeingaben!F161&gt;0,Zusatzeingaben!F164=Zusatzeingaben!F161),0,Zusatzeingaben!F204-Zusatzeingaben!F161)</f>
        <v>0</v>
      </c>
      <c r="G77" s="128">
        <f>IF(AND(Zusatzeingaben!G161&gt;0,Zusatzeingaben!G164=Zusatzeingaben!G161),0,Zusatzeingaben!G204-Zusatzeingaben!G161)</f>
        <v>0</v>
      </c>
      <c r="H77" s="128">
        <f>IF(AND(Zusatzeingaben!H161&gt;0,Zusatzeingaben!H164=Zusatzeingaben!H161),0,Zusatzeingaben!H204-Zusatzeingaben!H161)</f>
        <v>0</v>
      </c>
      <c r="I77" s="190">
        <f>IF(AND(Zusatzeingaben!I161&gt;0,Zusatzeingaben!I164=Zusatzeingaben!I161),0,Zusatzeingaben!I204-Zusatzeingaben!I161)</f>
        <v>0</v>
      </c>
    </row>
    <row r="78" spans="1:9" hidden="1">
      <c r="A78" s="411"/>
      <c r="B78" s="62"/>
      <c r="C78" s="128">
        <f>IF(AND(C71&gt;0,C77&gt;Zusatzeingaben!C204),Zusatzeingaben!C204,C77)</f>
        <v>0</v>
      </c>
      <c r="D78" s="128">
        <f>IF(AND(D71&gt;0,D77&gt;Zusatzeingaben!D204),Zusatzeingaben!D204,D77)</f>
        <v>0</v>
      </c>
      <c r="E78" s="128">
        <f>IF(AND(E71&gt;0,E77&gt;Zusatzeingaben!E204),Zusatzeingaben!E204,E77)</f>
        <v>0</v>
      </c>
      <c r="F78" s="128">
        <f>IF(AND(F71&gt;0,F77&gt;Zusatzeingaben!F204),Zusatzeingaben!F204,F77)</f>
        <v>0</v>
      </c>
      <c r="G78" s="128">
        <f>IF(AND(G71&gt;0,G77&gt;Zusatzeingaben!G204),Zusatzeingaben!G204,G77)</f>
        <v>0</v>
      </c>
      <c r="H78" s="128">
        <f>IF(AND(H71&gt;0,H77&gt;Zusatzeingaben!H204),Zusatzeingaben!H204,H77)</f>
        <v>0</v>
      </c>
      <c r="I78" s="190">
        <f>IF(AND(I71&gt;0,I77&gt;Zusatzeingaben!I204),Zusatzeingaben!I204,I77)</f>
        <v>0</v>
      </c>
    </row>
    <row r="79" spans="1:9" hidden="1">
      <c r="A79" s="411"/>
      <c r="B79" s="62"/>
      <c r="C79" s="128">
        <f>IF(C113=0,Zusatzeingaben!C204,0)</f>
        <v>0</v>
      </c>
      <c r="D79" s="128">
        <f>IF(D113=0,Zusatzeingaben!D204,0)</f>
        <v>0</v>
      </c>
      <c r="E79" s="128">
        <f>IF(E113=0,Zusatzeingaben!E204,0)</f>
        <v>0</v>
      </c>
      <c r="F79" s="128">
        <f>IF(F113=0,Zusatzeingaben!F204,0)</f>
        <v>0</v>
      </c>
      <c r="G79" s="128">
        <f>IF(G113=0,Zusatzeingaben!G204,0)</f>
        <v>0</v>
      </c>
      <c r="H79" s="128">
        <f>IF(H113=0,Zusatzeingaben!H204,0)</f>
        <v>0</v>
      </c>
      <c r="I79" s="190">
        <f>IF(I113=0,Zusatzeingaben!I204,0)</f>
        <v>0</v>
      </c>
    </row>
    <row r="80" spans="1:9" hidden="1">
      <c r="A80" s="411"/>
      <c r="B80" s="62"/>
      <c r="C80" s="128">
        <f>IF(C79=Zusatzeingaben!C204,C79,C78)</f>
        <v>0</v>
      </c>
      <c r="D80" s="128">
        <f>IF(D79=Zusatzeingaben!D204,D79,D78)</f>
        <v>0</v>
      </c>
      <c r="E80" s="128">
        <f>IF(E79=Zusatzeingaben!E204,E79,E78)</f>
        <v>0</v>
      </c>
      <c r="F80" s="128">
        <f>IF(F79=Zusatzeingaben!F204,F79,F78)</f>
        <v>0</v>
      </c>
      <c r="G80" s="128">
        <f>IF(G79=Zusatzeingaben!G204,G79,G78)</f>
        <v>0</v>
      </c>
      <c r="H80" s="128">
        <f>IF(H79=Zusatzeingaben!H204,H79,H78)</f>
        <v>0</v>
      </c>
      <c r="I80" s="190">
        <f>IF(I79=Zusatzeingaben!I204,I79,I78)</f>
        <v>0</v>
      </c>
    </row>
    <row r="81" spans="1:11" hidden="1">
      <c r="A81" s="411"/>
      <c r="B81" s="62"/>
      <c r="C81" s="295">
        <f t="shared" ref="C81:I81" si="8">IF(OR(C80&lt;0,C70=0),0,C80)</f>
        <v>0</v>
      </c>
      <c r="D81" s="295">
        <f t="shared" si="8"/>
        <v>0</v>
      </c>
      <c r="E81" s="295">
        <f t="shared" si="8"/>
        <v>0</v>
      </c>
      <c r="F81" s="295">
        <f t="shared" si="8"/>
        <v>0</v>
      </c>
      <c r="G81" s="295">
        <f t="shared" si="8"/>
        <v>0</v>
      </c>
      <c r="H81" s="295">
        <f t="shared" si="8"/>
        <v>0</v>
      </c>
      <c r="I81" s="296">
        <f t="shared" si="8"/>
        <v>0</v>
      </c>
    </row>
    <row r="82" spans="1:11">
      <c r="A82" s="408">
        <f>IF(B82&gt;0,"./. Kfz-Haftpflichtversicherung",0)</f>
        <v>0</v>
      </c>
      <c r="B82" s="284">
        <f>SUM(C82:I82)</f>
        <v>0</v>
      </c>
      <c r="C82" s="295">
        <f>IF(AND(C114&gt;0,C54&lt;=400),0,IF(AND(C114&gt;0,Zusatzeingaben!C141=0),0,IF(AND(C120=Zusatzeingaben!C189,C61&gt;0,Zusatzeingaben!C189&gt;0),0,C81)))</f>
        <v>0</v>
      </c>
      <c r="D82" s="295">
        <f>IF(AND(D114&gt;0,D54&lt;=400),0,IF(AND(D114&gt;0,Zusatzeingaben!D141=0),0,IF(AND(D120=Zusatzeingaben!D189,D61&gt;0,Zusatzeingaben!D189&gt;0),0,D81)))</f>
        <v>0</v>
      </c>
      <c r="E82" s="295">
        <f>IF(AND(E114&gt;0,E54&lt;=400),0,IF(AND(E114&gt;0,Zusatzeingaben!E141=0),0,IF(AND(E120=Zusatzeingaben!E189,E61&gt;0,Zusatzeingaben!E189&gt;0),0,E81)))</f>
        <v>0</v>
      </c>
      <c r="F82" s="295">
        <f>IF(AND(F114&gt;0,F54&lt;=400),0,IF(AND(F114&gt;0,Zusatzeingaben!F141=0),0,IF(AND(F120=Zusatzeingaben!F189,F61&gt;0,Zusatzeingaben!F189&gt;0),0,F81)))</f>
        <v>0</v>
      </c>
      <c r="G82" s="295">
        <f>IF(AND(G114&gt;0,G54&lt;=400),0,IF(AND(G114&gt;0,Zusatzeingaben!G141=0),0,IF(AND(G120=Zusatzeingaben!G189,G61&gt;0,Zusatzeingaben!G189&gt;0),0,G81)))</f>
        <v>0</v>
      </c>
      <c r="H82" s="295">
        <f>IF(AND(H114&gt;0,H54&lt;=400),0,IF(AND(H114&gt;0,Zusatzeingaben!H141=0),0,IF(AND(H120=Zusatzeingaben!H189,H61&gt;0,Zusatzeingaben!H189&gt;0),0,H81)))</f>
        <v>0</v>
      </c>
      <c r="I82" s="296">
        <f>IF(AND(I114&gt;0,I54&lt;=400),0,IF(AND(I114&gt;0,Zusatzeingaben!I141=0),0,IF(AND(I120=Zusatzeingaben!I189,I61&gt;0,Zusatzeingaben!I189&gt;0),0,I81)))</f>
        <v>0</v>
      </c>
      <c r="K82" s="616"/>
    </row>
    <row r="83" spans="1:11" ht="18" hidden="1" customHeight="1">
      <c r="A83" s="411"/>
      <c r="B83" s="128"/>
      <c r="C83" s="128">
        <f>IF(AND(Zusatzeingaben!C161&gt;0,Zusatzeingaben!C164=Zusatzeingaben!C161),0,Zusatzeingaben!C205)</f>
        <v>0</v>
      </c>
      <c r="D83" s="128">
        <f>IF(AND(Zusatzeingaben!D161&gt;0,Zusatzeingaben!D164=Zusatzeingaben!D161),0,Zusatzeingaben!D205)</f>
        <v>0</v>
      </c>
      <c r="E83" s="128">
        <f>IF(AND(Zusatzeingaben!E161&gt;0,Zusatzeingaben!E164=Zusatzeingaben!E161),0,Zusatzeingaben!E205)</f>
        <v>0</v>
      </c>
      <c r="F83" s="128">
        <f>IF(AND(Zusatzeingaben!F161&gt;0,Zusatzeingaben!F164=Zusatzeingaben!F161),0,Zusatzeingaben!F205)</f>
        <v>0</v>
      </c>
      <c r="G83" s="128">
        <f>IF(AND(Zusatzeingaben!G161&gt;0,Zusatzeingaben!G164=Zusatzeingaben!G161),0,Zusatzeingaben!G205)</f>
        <v>0</v>
      </c>
      <c r="H83" s="128">
        <f>IF(AND(Zusatzeingaben!H161&gt;0,Zusatzeingaben!H164=Zusatzeingaben!H161),0,Zusatzeingaben!H205)</f>
        <v>0</v>
      </c>
      <c r="I83" s="190">
        <f>IF(AND(Zusatzeingaben!I161&gt;0,Zusatzeingaben!I164=Zusatzeingaben!I161),0,Zusatzeingaben!I205)</f>
        <v>0</v>
      </c>
      <c r="K83" s="616"/>
    </row>
    <row r="84" spans="1:11" ht="18" hidden="1" customHeight="1">
      <c r="A84" s="411"/>
      <c r="B84" s="128"/>
      <c r="C84" s="128">
        <f>IF(AND(Zusatzeingaben!C215&gt;C113,C78&lt;&gt;Zusatzeingaben!C204),C83,0)</f>
        <v>0</v>
      </c>
      <c r="D84" s="128">
        <f>IF(AND(Zusatzeingaben!D215&gt;D113,D78&lt;&gt;Zusatzeingaben!D204),D83,0)</f>
        <v>0</v>
      </c>
      <c r="E84" s="128">
        <f>IF(AND(Zusatzeingaben!E215&gt;E113,E78&lt;&gt;Zusatzeingaben!E204),E83,0)</f>
        <v>0</v>
      </c>
      <c r="F84" s="128">
        <f>IF(AND(Zusatzeingaben!F215&gt;F113,F78&lt;&gt;Zusatzeingaben!F204),F83,0)</f>
        <v>0</v>
      </c>
      <c r="G84" s="128">
        <f>IF(AND(Zusatzeingaben!G215&gt;G113,G78&lt;&gt;Zusatzeingaben!G204),G83,0)</f>
        <v>0</v>
      </c>
      <c r="H84" s="128">
        <f>IF(AND(Zusatzeingaben!H215&gt;H113,H78&lt;&gt;Zusatzeingaben!H204),H83,0)</f>
        <v>0</v>
      </c>
      <c r="I84" s="190">
        <f>IF(AND(Zusatzeingaben!I215&gt;I113,I78&lt;&gt;Zusatzeingaben!I204),I83,0)</f>
        <v>0</v>
      </c>
      <c r="K84" s="616"/>
    </row>
    <row r="85" spans="1:11" ht="18" hidden="1" customHeight="1">
      <c r="A85" s="411"/>
      <c r="B85" s="128"/>
      <c r="C85" s="128">
        <f>IF(C113=0,Zusatzeingaben!C205,0)</f>
        <v>0</v>
      </c>
      <c r="D85" s="128">
        <f>IF(D113=0,Zusatzeingaben!D205,0)</f>
        <v>0</v>
      </c>
      <c r="E85" s="128">
        <f>IF(E113=0,Zusatzeingaben!E205,0)</f>
        <v>0</v>
      </c>
      <c r="F85" s="128">
        <f>IF(F113=0,Zusatzeingaben!F205,0)</f>
        <v>0</v>
      </c>
      <c r="G85" s="128">
        <f>IF(G113=0,Zusatzeingaben!G205,0)</f>
        <v>0</v>
      </c>
      <c r="H85" s="128">
        <f>IF(H113=0,Zusatzeingaben!H205,0)</f>
        <v>0</v>
      </c>
      <c r="I85" s="190">
        <f>IF(I113=0,Zusatzeingaben!I205,0)</f>
        <v>0</v>
      </c>
      <c r="K85" s="616"/>
    </row>
    <row r="86" spans="1:11" ht="18" hidden="1" customHeight="1">
      <c r="A86" s="411"/>
      <c r="B86" s="128"/>
      <c r="C86" s="128">
        <f>IF(C85=Zusatzeingaben!C205,C85,C84)</f>
        <v>0</v>
      </c>
      <c r="D86" s="128">
        <f>IF(D85=Zusatzeingaben!D205,D85,D84)</f>
        <v>0</v>
      </c>
      <c r="E86" s="128">
        <f>IF(E85=Zusatzeingaben!E205,E85,E84)</f>
        <v>0</v>
      </c>
      <c r="F86" s="128">
        <f>IF(F85=Zusatzeingaben!F205,F85,F84)</f>
        <v>0</v>
      </c>
      <c r="G86" s="128">
        <f>IF(G85=Zusatzeingaben!G205,G85,G84)</f>
        <v>0</v>
      </c>
      <c r="H86" s="128">
        <f>IF(H85=Zusatzeingaben!H205,H85,H84)</f>
        <v>0</v>
      </c>
      <c r="I86" s="190">
        <f>IF(I85=Zusatzeingaben!I205,I85,I84)</f>
        <v>0</v>
      </c>
    </row>
    <row r="87" spans="1:11" ht="18" customHeight="1">
      <c r="A87" s="408">
        <f>IF(B87&gt;0,"./. Beiträge für Krankheit/Alter/ZVK",0)</f>
        <v>0</v>
      </c>
      <c r="B87" s="297">
        <f>SUM(C87:I87)</f>
        <v>0</v>
      </c>
      <c r="C87" s="295">
        <f>IF(C70=0,0,IF(AND(C114&gt;0,C54&lt;=400),0,IF(AND(C114&gt;0,Zusatzeingaben!C141=0),0,IF(AND(C120=Zusatzeingaben!C189,C61&gt;0,Zusatzeingaben!C189&gt;0),0,C86))))</f>
        <v>0</v>
      </c>
      <c r="D87" s="295">
        <f>IF(D70=0,0,IF(AND(D114&gt;0,D54&lt;=400),0,IF(AND(D114&gt;0,Zusatzeingaben!D141=0),0,IF(AND(D120=Zusatzeingaben!D189,D61&gt;0,Zusatzeingaben!D189&gt;0),0,D86))))</f>
        <v>0</v>
      </c>
      <c r="E87" s="295">
        <f>IF(E70=0,0,IF(AND(E114&gt;0,E54&lt;=400),0,IF(AND(E114&gt;0,Zusatzeingaben!E141=0),0,IF(AND(E120=Zusatzeingaben!E189,E61&gt;0,Zusatzeingaben!E189&gt;0),0,E86))))</f>
        <v>0</v>
      </c>
      <c r="F87" s="295">
        <f>IF(F70=0,0,IF(AND(F114&gt;0,F54&lt;=400),0,IF(AND(F114&gt;0,Zusatzeingaben!F141=0),0,IF(AND(F120=Zusatzeingaben!F189,F61&gt;0,Zusatzeingaben!F189&gt;0),0,F86))))</f>
        <v>0</v>
      </c>
      <c r="G87" s="295">
        <f>IF(G70=0,0,IF(AND(G114&gt;0,G54&lt;=400),0,IF(AND(G114&gt;0,Zusatzeingaben!G141=0),0,IF(AND(G120=Zusatzeingaben!G189,G61&gt;0,Zusatzeingaben!G189&gt;0),0,G86))))</f>
        <v>0</v>
      </c>
      <c r="H87" s="295">
        <f>IF(H70=0,0,IF(AND(H114&gt;0,H54&lt;=400),0,IF(AND(H114&gt;0,Zusatzeingaben!H141=0),0,IF(AND(H120=Zusatzeingaben!H189,H61&gt;0,Zusatzeingaben!H189&gt;0),0,H86))))</f>
        <v>0</v>
      </c>
      <c r="I87" s="296">
        <f>IF(I70=0,0,IF(AND(I114&gt;0,I54&lt;=400),0,IF(AND(I114&gt;0,Zusatzeingaben!I141=0),0,IF(AND(I120=Zusatzeingaben!I189,I61&gt;0,Zusatzeingaben!I189&gt;0),0,I86))))</f>
        <v>0</v>
      </c>
    </row>
    <row r="88" spans="1:11" ht="16.5" hidden="1" customHeight="1">
      <c r="A88" s="411"/>
      <c r="B88" s="128"/>
      <c r="C88" s="128">
        <f>IF(AND(Zusatzeingaben!C161&gt;0,Zusatzeingaben!C164=Zusatzeingaben!C161),0,Zusatzeingaben!C213)</f>
        <v>0</v>
      </c>
      <c r="D88" s="128">
        <f>IF(AND(Zusatzeingaben!D161&gt;0,Zusatzeingaben!D164=Zusatzeingaben!D161),0,Zusatzeingaben!D213)</f>
        <v>0</v>
      </c>
      <c r="E88" s="128">
        <f>IF(AND(Zusatzeingaben!E161&gt;0,Zusatzeingaben!E164=Zusatzeingaben!E161),0,Zusatzeingaben!E213)</f>
        <v>0</v>
      </c>
      <c r="F88" s="128">
        <f>IF(AND(Zusatzeingaben!F161&gt;0,Zusatzeingaben!F164=Zusatzeingaben!F161),0,Zusatzeingaben!F213)</f>
        <v>0</v>
      </c>
      <c r="G88" s="128">
        <f>IF(AND(Zusatzeingaben!G161&gt;0,Zusatzeingaben!G164=Zusatzeingaben!G161),0,Zusatzeingaben!G213)</f>
        <v>0</v>
      </c>
      <c r="H88" s="128">
        <f>IF(AND(Zusatzeingaben!H161&gt;0,Zusatzeingaben!H164=Zusatzeingaben!H161),0,Zusatzeingaben!H213)</f>
        <v>0</v>
      </c>
      <c r="I88" s="190">
        <f>IF(AND(Zusatzeingaben!I161&gt;0,Zusatzeingaben!I164=Zusatzeingaben!I161),0,Zusatzeingaben!I213)</f>
        <v>0</v>
      </c>
    </row>
    <row r="89" spans="1:11" ht="16.5" hidden="1" customHeight="1">
      <c r="A89" s="411"/>
      <c r="B89" s="128"/>
      <c r="C89" s="128">
        <f>IF(AND(Zusatzeingaben!C215&gt;C113,C78&lt;&gt;Zusatzeingaben!C204),C88,0)</f>
        <v>0</v>
      </c>
      <c r="D89" s="128">
        <f>IF(AND(Zusatzeingaben!D215&gt;D113,D78&lt;&gt;Zusatzeingaben!D204),D88,0)</f>
        <v>0</v>
      </c>
      <c r="E89" s="128">
        <f>IF(AND(Zusatzeingaben!E215&gt;E113,E78&lt;&gt;Zusatzeingaben!E204),E88,0)</f>
        <v>0</v>
      </c>
      <c r="F89" s="128">
        <f>IF(AND(Zusatzeingaben!F215&gt;F113,F78&lt;&gt;Zusatzeingaben!F204),F88,0)</f>
        <v>0</v>
      </c>
      <c r="G89" s="128">
        <f>IF(AND(Zusatzeingaben!G215&gt;G113,G78&lt;&gt;Zusatzeingaben!G204),G88,0)</f>
        <v>0</v>
      </c>
      <c r="H89" s="128">
        <f>IF(AND(Zusatzeingaben!H215&gt;H113,H78&lt;&gt;Zusatzeingaben!H204),H88,0)</f>
        <v>0</v>
      </c>
      <c r="I89" s="190">
        <f>IF(AND(Zusatzeingaben!I215&gt;I113,I78&lt;&gt;Zusatzeingaben!I204),I88,0)</f>
        <v>0</v>
      </c>
    </row>
    <row r="90" spans="1:11" ht="16.5" hidden="1" customHeight="1">
      <c r="A90" s="411"/>
      <c r="B90" s="128"/>
      <c r="C90" s="128">
        <f>IF(C113=0,Zusatzeingaben!C213,0)</f>
        <v>0</v>
      </c>
      <c r="D90" s="128">
        <f>IF(D113=0,Zusatzeingaben!D213,0)</f>
        <v>0</v>
      </c>
      <c r="E90" s="128">
        <f>IF(E113=0,Zusatzeingaben!E213,0)</f>
        <v>0</v>
      </c>
      <c r="F90" s="128">
        <f>IF(F113=0,Zusatzeingaben!F213,0)</f>
        <v>0</v>
      </c>
      <c r="G90" s="128">
        <f>IF(G113=0,Zusatzeingaben!G213,0)</f>
        <v>0</v>
      </c>
      <c r="H90" s="128">
        <f>IF(H113=0,Zusatzeingaben!H213,0)</f>
        <v>0</v>
      </c>
      <c r="I90" s="190">
        <f>IF(I113=0,Zusatzeingaben!I213,0)</f>
        <v>0</v>
      </c>
    </row>
    <row r="91" spans="1:11" ht="16.5" hidden="1" customHeight="1">
      <c r="A91" s="411"/>
      <c r="B91" s="128"/>
      <c r="C91" s="128">
        <f>IF(C90=Zusatzeingaben!C213,C90,C89)</f>
        <v>0</v>
      </c>
      <c r="D91" s="128">
        <f>IF(D90=Zusatzeingaben!D213,D90,D89)</f>
        <v>0</v>
      </c>
      <c r="E91" s="128">
        <f>IF(E90=Zusatzeingaben!E213,E90,E89)</f>
        <v>0</v>
      </c>
      <c r="F91" s="128">
        <f>IF(F90=Zusatzeingaben!F213,F90,F89)</f>
        <v>0</v>
      </c>
      <c r="G91" s="128">
        <f>IF(G90=Zusatzeingaben!G213,G90,G89)</f>
        <v>0</v>
      </c>
      <c r="H91" s="128">
        <f>IF(H90=Zusatzeingaben!H213,H90,H89)</f>
        <v>0</v>
      </c>
      <c r="I91" s="190">
        <f>IF(I90=Zusatzeingaben!I213,I90,I89)</f>
        <v>0</v>
      </c>
    </row>
    <row r="92" spans="1:11">
      <c r="A92" s="408">
        <f>IF(B92&gt;0,"./. Beiträge Riester-Rente",0)</f>
        <v>0</v>
      </c>
      <c r="B92" s="297">
        <f>SUM(C92:I92)</f>
        <v>0</v>
      </c>
      <c r="C92" s="295">
        <f>IF(C70=0,0,IF(AND(C114&gt;0,C54&lt;=400),0,IF(AND(C114&gt;0,Zusatzeingaben!C141=0),0,IF(AND(C120=Zusatzeingaben!C189,C61&gt;0,Zusatzeingaben!C189&gt;0),0,C91))))</f>
        <v>0</v>
      </c>
      <c r="D92" s="295">
        <f>IF(D70=0,0,IF(AND(D114&gt;0,D54&lt;=400),0,IF(AND(D114&gt;0,Zusatzeingaben!D141=0),0,IF(AND(D120=Zusatzeingaben!D189,D61&gt;0,Zusatzeingaben!D189&gt;0),0,D91))))</f>
        <v>0</v>
      </c>
      <c r="E92" s="295">
        <f>IF(E70=0,0,IF(AND(E114&gt;0,E54&lt;=400),0,IF(AND(E114&gt;0,Zusatzeingaben!E141=0),0,IF(AND(E120=Zusatzeingaben!E189,E61&gt;0,Zusatzeingaben!E189&gt;0),0,E91))))</f>
        <v>0</v>
      </c>
      <c r="F92" s="295">
        <f>IF(F70=0,0,IF(AND(F114&gt;0,F54&lt;=400),0,IF(AND(F114&gt;0,Zusatzeingaben!F141=0),0,IF(AND(F120=Zusatzeingaben!F189,F61&gt;0,Zusatzeingaben!F189&gt;0),0,F91))))</f>
        <v>0</v>
      </c>
      <c r="G92" s="295">
        <f>IF(G70=0,0,IF(AND(G114&gt;0,G54&lt;=400),0,IF(AND(G114&gt;0,Zusatzeingaben!G141=0),0,IF(AND(G120=Zusatzeingaben!G189,G61&gt;0,Zusatzeingaben!G189&gt;0),0,G91))))</f>
        <v>0</v>
      </c>
      <c r="H92" s="295">
        <f>IF(H70=0,0,IF(AND(H114&gt;0,H54&lt;=400),0,IF(AND(H114&gt;0,Zusatzeingaben!H141=0),0,IF(AND(H120=Zusatzeingaben!H189,H61&gt;0,Zusatzeingaben!H189&gt;0),0,H91))))</f>
        <v>0</v>
      </c>
      <c r="I92" s="296">
        <f>IF(I70=0,0,IF(AND(I114&gt;0,I54&lt;=400),0,IF(AND(I114&gt;0,Zusatzeingaben!I141=0),0,IF(AND(I120=Zusatzeingaben!I189,I61&gt;0,Zusatzeingaben!I189&gt;0),0,I91))))</f>
        <v>0</v>
      </c>
    </row>
    <row r="93" spans="1:11" hidden="1">
      <c r="A93" s="408"/>
      <c r="B93" s="128"/>
      <c r="C93" s="128">
        <f>IF(AND(Zusatzeingaben!C161&gt;0,Zusatzeingaben!C164=Zusatzeingaben!C161),0,Zusatzeingaben!C127)</f>
        <v>0</v>
      </c>
      <c r="D93" s="128">
        <f>IF(AND(Zusatzeingaben!D161&gt;0,Zusatzeingaben!D164=Zusatzeingaben!D161),0,Zusatzeingaben!D127)</f>
        <v>0</v>
      </c>
      <c r="E93" s="128">
        <f>IF(AND(Zusatzeingaben!E161&gt;0,Zusatzeingaben!E164=Zusatzeingaben!E161),0,Zusatzeingaben!E127)</f>
        <v>0</v>
      </c>
      <c r="F93" s="128">
        <f>IF(AND(Zusatzeingaben!F161&gt;0,Zusatzeingaben!F164=Zusatzeingaben!F161),0,Zusatzeingaben!F127)</f>
        <v>0</v>
      </c>
      <c r="G93" s="128">
        <f>IF(AND(Zusatzeingaben!G161&gt;0,Zusatzeingaben!G164=Zusatzeingaben!G161),0,Zusatzeingaben!G127)</f>
        <v>0</v>
      </c>
      <c r="H93" s="128">
        <f>IF(AND(Zusatzeingaben!H161&gt;0,Zusatzeingaben!H164=Zusatzeingaben!H161),0,Zusatzeingaben!H127)</f>
        <v>0</v>
      </c>
      <c r="I93" s="190">
        <f>IF(AND(Zusatzeingaben!I161&gt;0,Zusatzeingaben!I164=Zusatzeingaben!I161),0,Zusatzeingaben!I127)</f>
        <v>0</v>
      </c>
    </row>
    <row r="94" spans="1:11" hidden="1">
      <c r="A94" s="613"/>
      <c r="B94" s="128"/>
      <c r="C94" s="128">
        <f>IF(AND(Zusatzeingaben!C215&gt;C113,C78&lt;&gt;Zusatzeingaben!C127),C93,0)</f>
        <v>0</v>
      </c>
      <c r="D94" s="128">
        <f>IF(AND(Zusatzeingaben!D215&gt;D113,D78&lt;&gt;Zusatzeingaben!D127),D93,0)</f>
        <v>0</v>
      </c>
      <c r="E94" s="128">
        <f>IF(AND(Zusatzeingaben!E215&gt;E113,E78&lt;&gt;Zusatzeingaben!E127),E93,0)</f>
        <v>0</v>
      </c>
      <c r="F94" s="128">
        <f>IF(AND(Zusatzeingaben!F215&gt;F113,F78&lt;&gt;Zusatzeingaben!F127),F93,0)</f>
        <v>0</v>
      </c>
      <c r="G94" s="128">
        <f>IF(AND(Zusatzeingaben!G215&gt;G113,G78&lt;&gt;Zusatzeingaben!G127),G93,0)</f>
        <v>0</v>
      </c>
      <c r="H94" s="128">
        <f>IF(AND(Zusatzeingaben!H215&gt;H113,H78&lt;&gt;Zusatzeingaben!H127),H93,0)</f>
        <v>0</v>
      </c>
      <c r="I94" s="190">
        <f>IF(AND(Zusatzeingaben!I215&gt;I113,I78&lt;&gt;Zusatzeingaben!I127),I93,0)</f>
        <v>0</v>
      </c>
    </row>
    <row r="95" spans="1:11" hidden="1">
      <c r="A95" s="408"/>
      <c r="B95" s="128"/>
      <c r="C95" s="128">
        <f>IF(C113=0,Zusatzeingaben!C127,0)</f>
        <v>0</v>
      </c>
      <c r="D95" s="128">
        <f>IF(D113=0,Zusatzeingaben!D127,0)</f>
        <v>0</v>
      </c>
      <c r="E95" s="128">
        <f>IF(E113=0,Zusatzeingaben!E127,0)</f>
        <v>0</v>
      </c>
      <c r="F95" s="128">
        <f>IF(F113=0,Zusatzeingaben!F127,0)</f>
        <v>0</v>
      </c>
      <c r="G95" s="128">
        <f>IF(G113=0,Zusatzeingaben!G127,0)</f>
        <v>0</v>
      </c>
      <c r="H95" s="128">
        <f>IF(H113=0,Zusatzeingaben!H127,0)</f>
        <v>0</v>
      </c>
      <c r="I95" s="190">
        <f>IF(I113=0,Zusatzeingaben!I127,0)</f>
        <v>0</v>
      </c>
    </row>
    <row r="96" spans="1:11" hidden="1">
      <c r="A96" s="408"/>
      <c r="B96" s="128"/>
      <c r="C96" s="128">
        <f>IF(C95=Zusatzeingaben!C127,C95,C94)</f>
        <v>0</v>
      </c>
      <c r="D96" s="128">
        <f>IF(D95=Zusatzeingaben!D127,D95,D94)</f>
        <v>0</v>
      </c>
      <c r="E96" s="128">
        <f>IF(E95=Zusatzeingaben!E127,E95,E94)</f>
        <v>0</v>
      </c>
      <c r="F96" s="128">
        <f>IF(F95=Zusatzeingaben!F127,F95,F94)</f>
        <v>0</v>
      </c>
      <c r="G96" s="128">
        <f>IF(G95=Zusatzeingaben!G127,G95,G94)</f>
        <v>0</v>
      </c>
      <c r="H96" s="128">
        <f>IF(H95=Zusatzeingaben!H127,H95,H94)</f>
        <v>0</v>
      </c>
      <c r="I96" s="190">
        <f>IF(I95=Zusatzeingaben!I127,I95,I94)</f>
        <v>0</v>
      </c>
    </row>
    <row r="97" spans="1:9" hidden="1">
      <c r="A97" s="613"/>
      <c r="B97" s="128"/>
      <c r="C97" s="128">
        <f>IF(Zusatzeingaben!C140=0,0,C96)</f>
        <v>0</v>
      </c>
      <c r="D97" s="128">
        <f>IF(Zusatzeingaben!D140=0,0,D96)</f>
        <v>0</v>
      </c>
      <c r="E97" s="128">
        <f>IF(Zusatzeingaben!E140=0,0,E96)</f>
        <v>0</v>
      </c>
      <c r="F97" s="128">
        <f>IF(Zusatzeingaben!F140=0,0,F96)</f>
        <v>0</v>
      </c>
      <c r="G97" s="128">
        <f>IF(Zusatzeingaben!G140=0,0,G96)</f>
        <v>0</v>
      </c>
      <c r="H97" s="128">
        <f>IF(Zusatzeingaben!H140=0,0,H96)</f>
        <v>0</v>
      </c>
      <c r="I97" s="190">
        <f>IF(Zusatzeingaben!I140=0,0,I96)</f>
        <v>0</v>
      </c>
    </row>
    <row r="98" spans="1:9">
      <c r="A98" s="408">
        <f>IF(B98&gt;0,"./. Fahrtkosten",0)</f>
        <v>0</v>
      </c>
      <c r="B98" s="284">
        <f>SUM(C98:I98)</f>
        <v>0</v>
      </c>
      <c r="C98" s="295">
        <f t="shared" ref="C98:I98" si="9">IF(AND(C114&gt;0,C54&lt;=400),0,IF(C75&lt;0,C97+C75,IF(C70=0,0,C97)))</f>
        <v>0</v>
      </c>
      <c r="D98" s="295">
        <f t="shared" si="9"/>
        <v>0</v>
      </c>
      <c r="E98" s="295">
        <f t="shared" si="9"/>
        <v>0</v>
      </c>
      <c r="F98" s="295">
        <f t="shared" si="9"/>
        <v>0</v>
      </c>
      <c r="G98" s="295">
        <f t="shared" si="9"/>
        <v>0</v>
      </c>
      <c r="H98" s="295">
        <f t="shared" si="9"/>
        <v>0</v>
      </c>
      <c r="I98" s="296">
        <f t="shared" si="9"/>
        <v>0</v>
      </c>
    </row>
    <row r="99" spans="1:9" hidden="1">
      <c r="A99" s="408"/>
      <c r="B99" s="62"/>
      <c r="C99" s="128">
        <f>IF(AND(Zusatzeingaben!C161&gt;0,Zusatzeingaben!C164=Zusatzeingaben!C161),0,Zusatzeingaben!C124)</f>
        <v>0</v>
      </c>
      <c r="D99" s="128">
        <f>IF(AND(Zusatzeingaben!D161&gt;0,Zusatzeingaben!D164=Zusatzeingaben!D161),0,Zusatzeingaben!D124)</f>
        <v>0</v>
      </c>
      <c r="E99" s="128">
        <f>IF(AND(Zusatzeingaben!E161&gt;0,Zusatzeingaben!E164=Zusatzeingaben!E161),0,Zusatzeingaben!E124)</f>
        <v>0</v>
      </c>
      <c r="F99" s="128">
        <f>IF(AND(Zusatzeingaben!F161&gt;0,Zusatzeingaben!F164=Zusatzeingaben!F161),0,Zusatzeingaben!F124)</f>
        <v>0</v>
      </c>
      <c r="G99" s="128">
        <f>IF(AND(Zusatzeingaben!G161&gt;0,Zusatzeingaben!G164=Zusatzeingaben!G161),0,Zusatzeingaben!G124)</f>
        <v>0</v>
      </c>
      <c r="H99" s="128">
        <f>IF(AND(Zusatzeingaben!H161&gt;0,Zusatzeingaben!H164=Zusatzeingaben!H161),0,Zusatzeingaben!H124)</f>
        <v>0</v>
      </c>
      <c r="I99" s="190">
        <f>IF(AND(Zusatzeingaben!I161&gt;0,Zusatzeingaben!I164=Zusatzeingaben!I161),0,Zusatzeingaben!I124)</f>
        <v>0</v>
      </c>
    </row>
    <row r="100" spans="1:9" hidden="1">
      <c r="A100" s="613"/>
      <c r="B100" s="62"/>
      <c r="C100" s="128">
        <f>IF(AND(Zusatzeingaben!C215&gt;C113,C78&lt;&gt;Zusatzeingaben!C124),C99,0)</f>
        <v>0</v>
      </c>
      <c r="D100" s="128">
        <f>IF(AND(Zusatzeingaben!D215&gt;D113,D78&lt;&gt;Zusatzeingaben!D124),D99,0)</f>
        <v>0</v>
      </c>
      <c r="E100" s="128">
        <f>IF(AND(Zusatzeingaben!E215&gt;E113,E78&lt;&gt;Zusatzeingaben!E124),E99,0)</f>
        <v>0</v>
      </c>
      <c r="F100" s="128">
        <f>IF(AND(Zusatzeingaben!F215&gt;F113,F78&lt;&gt;Zusatzeingaben!F124),F99,0)</f>
        <v>0</v>
      </c>
      <c r="G100" s="128">
        <f>IF(AND(Zusatzeingaben!G215&gt;G113,G78&lt;&gt;Zusatzeingaben!G124),G99,0)</f>
        <v>0</v>
      </c>
      <c r="H100" s="128">
        <f>IF(AND(Zusatzeingaben!H215&gt;H113,H78&lt;&gt;Zusatzeingaben!H124),H99,0)</f>
        <v>0</v>
      </c>
      <c r="I100" s="190">
        <f>IF(AND(Zusatzeingaben!I215&gt;I113,I78&lt;&gt;Zusatzeingaben!I124),I99,0)</f>
        <v>0</v>
      </c>
    </row>
    <row r="101" spans="1:9" hidden="1">
      <c r="A101" s="408"/>
      <c r="B101" s="62"/>
      <c r="C101" s="128">
        <f>IF(C113=0,Zusatzeingaben!C124,0)</f>
        <v>0</v>
      </c>
      <c r="D101" s="128">
        <f>IF(D113=0,Zusatzeingaben!D124,0)</f>
        <v>0</v>
      </c>
      <c r="E101" s="128">
        <f>IF(E113=0,Zusatzeingaben!E124,0)</f>
        <v>0</v>
      </c>
      <c r="F101" s="128">
        <f>IF(F113=0,Zusatzeingaben!F124,0)</f>
        <v>0</v>
      </c>
      <c r="G101" s="128">
        <f>IF(G113=0,Zusatzeingaben!G124,0)</f>
        <v>0</v>
      </c>
      <c r="H101" s="128">
        <f>IF(H113=0,Zusatzeingaben!H124,0)</f>
        <v>0</v>
      </c>
      <c r="I101" s="190">
        <f>IF(I113=0,Zusatzeingaben!I124,0)</f>
        <v>0</v>
      </c>
    </row>
    <row r="102" spans="1:9" hidden="1">
      <c r="A102" s="408"/>
      <c r="B102" s="62"/>
      <c r="C102" s="128">
        <f>IF(C101=Zusatzeingaben!C124,C101,C99)</f>
        <v>0</v>
      </c>
      <c r="D102" s="128">
        <f>IF(D101=Zusatzeingaben!D124,D101,D99)</f>
        <v>0</v>
      </c>
      <c r="E102" s="128">
        <f>IF(E101=Zusatzeingaben!E124,E101,E99)</f>
        <v>0</v>
      </c>
      <c r="F102" s="128">
        <f>IF(F101=Zusatzeingaben!F124,F101,F99)</f>
        <v>0</v>
      </c>
      <c r="G102" s="128">
        <f>IF(G101=Zusatzeingaben!G124,G101,G99)</f>
        <v>0</v>
      </c>
      <c r="H102" s="128">
        <f>IF(H101=Zusatzeingaben!H124,H101,H99)</f>
        <v>0</v>
      </c>
      <c r="I102" s="190">
        <f>IF(I101=Zusatzeingaben!I124,I101,I99)</f>
        <v>0</v>
      </c>
    </row>
    <row r="103" spans="1:9" hidden="1">
      <c r="A103" s="613"/>
      <c r="B103" s="62"/>
      <c r="C103" s="128">
        <f>IF(Zusatzeingaben!C140=0,0,C102)</f>
        <v>0</v>
      </c>
      <c r="D103" s="128">
        <f>IF(Zusatzeingaben!D140=0,0,D102)</f>
        <v>0</v>
      </c>
      <c r="E103" s="128">
        <f>IF(Zusatzeingaben!E140=0,0,E102)</f>
        <v>0</v>
      </c>
      <c r="F103" s="128">
        <f>IF(Zusatzeingaben!F140=0,0,F102)</f>
        <v>0</v>
      </c>
      <c r="G103" s="128">
        <f>IF(Zusatzeingaben!G140=0,0,G102)</f>
        <v>0</v>
      </c>
      <c r="H103" s="128">
        <f>IF(Zusatzeingaben!H140=0,0,H102)</f>
        <v>0</v>
      </c>
      <c r="I103" s="190">
        <f>IF(Zusatzeingaben!I140=0,0,I102)</f>
        <v>0</v>
      </c>
    </row>
    <row r="104" spans="1:9">
      <c r="A104" s="408">
        <f>IF(B104&gt;0,"./. Verpflegungsmehraufwand",0)</f>
        <v>0</v>
      </c>
      <c r="B104" s="284">
        <f>SUM(C104:I104)</f>
        <v>0</v>
      </c>
      <c r="C104" s="614">
        <f t="shared" ref="C104:I104" si="10">IF(AND(C114&gt;0,C54&lt;=400),0,IF(C70=0,0,C103))</f>
        <v>0</v>
      </c>
      <c r="D104" s="614">
        <f t="shared" si="10"/>
        <v>0</v>
      </c>
      <c r="E104" s="614">
        <f t="shared" si="10"/>
        <v>0</v>
      </c>
      <c r="F104" s="614">
        <f t="shared" si="10"/>
        <v>0</v>
      </c>
      <c r="G104" s="614">
        <f t="shared" si="10"/>
        <v>0</v>
      </c>
      <c r="H104" s="614">
        <f t="shared" si="10"/>
        <v>0</v>
      </c>
      <c r="I104" s="654">
        <f t="shared" si="10"/>
        <v>0</v>
      </c>
    </row>
    <row r="105" spans="1:9" hidden="1">
      <c r="A105" s="408"/>
      <c r="B105" s="62"/>
      <c r="C105" s="128">
        <f>IF(AND(Zusatzeingaben!C161&gt;0,Zusatzeingaben!C164=Zusatzeingaben!C161),0,Zusatzeingaben!C149)</f>
        <v>0</v>
      </c>
      <c r="D105" s="128">
        <f>IF(AND(Zusatzeingaben!D161&gt;0,Zusatzeingaben!D164=Zusatzeingaben!D161),0,Zusatzeingaben!D149)</f>
        <v>0</v>
      </c>
      <c r="E105" s="128">
        <f>IF(AND(Zusatzeingaben!E161&gt;0,Zusatzeingaben!E164=Zusatzeingaben!E161),0,Zusatzeingaben!E149)</f>
        <v>0</v>
      </c>
      <c r="F105" s="128">
        <f>IF(AND(Zusatzeingaben!F161&gt;0,Zusatzeingaben!F164=Zusatzeingaben!F161),0,Zusatzeingaben!F149)</f>
        <v>0</v>
      </c>
      <c r="G105" s="128">
        <f>IF(AND(Zusatzeingaben!G161&gt;0,Zusatzeingaben!G164=Zusatzeingaben!G161),0,Zusatzeingaben!G149)</f>
        <v>0</v>
      </c>
      <c r="H105" s="128">
        <f>IF(AND(Zusatzeingaben!H161&gt;0,Zusatzeingaben!H164=Zusatzeingaben!H161),0,Zusatzeingaben!H149)</f>
        <v>0</v>
      </c>
      <c r="I105" s="190">
        <f>IF(AND(Zusatzeingaben!I161&gt;0,Zusatzeingaben!I164=Zusatzeingaben!I161),0,Zusatzeingaben!I149)</f>
        <v>0</v>
      </c>
    </row>
    <row r="106" spans="1:9" hidden="1">
      <c r="A106" s="408"/>
      <c r="B106" s="62"/>
      <c r="C106" s="128">
        <f>IF(C113=0,Zusatzeingaben!C149,0)</f>
        <v>0</v>
      </c>
      <c r="D106" s="128">
        <f>IF(D113=0,Zusatzeingaben!D149,0)</f>
        <v>0</v>
      </c>
      <c r="E106" s="128">
        <f>IF(E113=0,Zusatzeingaben!E149,0)</f>
        <v>0</v>
      </c>
      <c r="F106" s="128">
        <f>IF(F113=0,Zusatzeingaben!F149,0)</f>
        <v>0</v>
      </c>
      <c r="G106" s="128">
        <f>IF(G113=0,Zusatzeingaben!G149,0)</f>
        <v>0</v>
      </c>
      <c r="H106" s="128">
        <f>IF(H113=0,Zusatzeingaben!H149,0)</f>
        <v>0</v>
      </c>
      <c r="I106" s="190">
        <f>IF(I113=0,Zusatzeingaben!I149,0)</f>
        <v>0</v>
      </c>
    </row>
    <row r="107" spans="1:9" hidden="1">
      <c r="A107" s="411"/>
      <c r="B107" s="62"/>
      <c r="C107" s="128">
        <f>IF(C106&gt;0,C106,C105)</f>
        <v>0</v>
      </c>
      <c r="D107" s="128">
        <f t="shared" ref="D107:I107" si="11">IF(D106&gt;0,D106,D105)</f>
        <v>0</v>
      </c>
      <c r="E107" s="128">
        <f t="shared" si="11"/>
        <v>0</v>
      </c>
      <c r="F107" s="128">
        <f t="shared" si="11"/>
        <v>0</v>
      </c>
      <c r="G107" s="128">
        <f t="shared" si="11"/>
        <v>0</v>
      </c>
      <c r="H107" s="128">
        <f t="shared" si="11"/>
        <v>0</v>
      </c>
      <c r="I107" s="190">
        <f t="shared" si="11"/>
        <v>0</v>
      </c>
    </row>
    <row r="108" spans="1:9">
      <c r="A108" s="409">
        <f>IF(B108&gt;0,"./. Werbungskosten bei Erwerbstätigkeit",0)</f>
        <v>0</v>
      </c>
      <c r="B108" s="284">
        <f>SUM(C108:I108)</f>
        <v>0</v>
      </c>
      <c r="C108" s="128">
        <f>IF(AND(C114&gt;0,C54&lt;=400),0,IF(AND(C58&gt;200,Zusatzeingaben!C159&gt;Zusatzeingaben!C157),Zusatzeingaben!C148,IF(AND($A$57="Gewinn aus selbständiger Tätigkeit",C57&gt;0),0,IF(AND(C54&lt;100,C58&lt;200,C69&gt;0),0,C107))))</f>
        <v>0</v>
      </c>
      <c r="D108" s="128">
        <f>IF(AND(D114&gt;0,D54&lt;=400),0,IF(AND(D58&gt;200,Zusatzeingaben!D159&gt;Zusatzeingaben!D157),Zusatzeingaben!D148,IF(AND($A$57="Gewinn aus selbständiger Tätigkeit",D57&gt;0),0,IF(AND(D54&lt;100,D58&lt;200,D69&gt;0),0,D107))))</f>
        <v>0</v>
      </c>
      <c r="E108" s="128">
        <f>IF(AND(E114&gt;0,E54&lt;=400),0,IF(AND(E58&gt;200,Zusatzeingaben!E159&gt;Zusatzeingaben!E157),Zusatzeingaben!E148,IF(AND($A$57="Gewinn aus selbständiger Tätigkeit",E57&gt;0),0,IF(AND(E54&lt;100,E58&lt;200,E69&gt;0),0,E107))))</f>
        <v>0</v>
      </c>
      <c r="F108" s="128">
        <f>IF(AND(F114&gt;0,F54&lt;=400),0,IF(AND(F58&gt;200,Zusatzeingaben!F159&gt;Zusatzeingaben!F157),Zusatzeingaben!F148,IF(AND($A$57="Gewinn aus selbständiger Tätigkeit",F57&gt;0),0,IF(AND(F54&lt;100,F58&lt;200,F69&gt;0),0,F107))))</f>
        <v>0</v>
      </c>
      <c r="G108" s="128">
        <f>IF(AND(G114&gt;0,G54&lt;=400),0,IF(AND(G58&gt;200,Zusatzeingaben!G159&gt;Zusatzeingaben!G157),Zusatzeingaben!G148,IF(AND($A$57="Gewinn aus selbständiger Tätigkeit",G57&gt;0),0,IF(AND(G54&lt;100,G58&lt;200,G69&gt;0),0,G107))))</f>
        <v>0</v>
      </c>
      <c r="H108" s="128">
        <f>IF(AND(H114&gt;0,H54&lt;=400),0,IF(AND(H58&gt;200,Zusatzeingaben!H159&gt;Zusatzeingaben!H157),Zusatzeingaben!H148,IF(AND($A$57="Gewinn aus selbständiger Tätigkeit",H57&gt;0),0,IF(AND(H54&lt;100,H58&lt;200,H69&gt;0),0,H107))))</f>
        <v>0</v>
      </c>
      <c r="I108" s="190">
        <f>IF(AND(I114&gt;0,I54&lt;=400),0,IF(AND(I58&gt;200,Zusatzeingaben!I159&gt;Zusatzeingaben!I157),Zusatzeingaben!I148,IF(AND($A$57="Gewinn aus selbständiger Tätigkeit",I57&gt;0),0,IF(AND(I54&lt;100,I58&lt;200,I69&gt;0),0,I107))))</f>
        <v>0</v>
      </c>
    </row>
    <row r="109" spans="1:9">
      <c r="A109" s="409">
        <f>IF(B109&gt;0,"./. notwendige Ausgaben",0)</f>
        <v>0</v>
      </c>
      <c r="B109" s="284">
        <f>SUM(C109:I109)</f>
        <v>0</v>
      </c>
      <c r="C109" s="128">
        <f>Zusatzeingaben!C218</f>
        <v>0</v>
      </c>
      <c r="D109" s="128">
        <f>Zusatzeingaben!D218</f>
        <v>0</v>
      </c>
      <c r="E109" s="128">
        <f>Zusatzeingaben!E218</f>
        <v>0</v>
      </c>
      <c r="F109" s="128">
        <f>Zusatzeingaben!F218</f>
        <v>0</v>
      </c>
      <c r="G109" s="128">
        <f>Zusatzeingaben!G218</f>
        <v>0</v>
      </c>
      <c r="H109" s="128">
        <f>Zusatzeingaben!H218</f>
        <v>0</v>
      </c>
      <c r="I109" s="190">
        <f>Zusatzeingaben!I218</f>
        <v>0</v>
      </c>
    </row>
    <row r="110" spans="1:9" ht="16.5" hidden="1" customHeight="1">
      <c r="A110" s="411"/>
      <c r="B110" s="62"/>
      <c r="C110" s="62">
        <f>IF(Zusatzeingaben!C161&gt;200,0,Zusatzeingaben!C161)</f>
        <v>0</v>
      </c>
      <c r="D110" s="62">
        <f>IF(Zusatzeingaben!D161&gt;200,0,Zusatzeingaben!D161)</f>
        <v>0</v>
      </c>
      <c r="E110" s="62">
        <f>IF(Zusatzeingaben!E161&gt;200,0,Zusatzeingaben!E161)</f>
        <v>0</v>
      </c>
      <c r="F110" s="62">
        <f>IF(Zusatzeingaben!F161&gt;200,0,Zusatzeingaben!F161)</f>
        <v>0</v>
      </c>
      <c r="G110" s="62">
        <f>IF(Zusatzeingaben!G161&gt;200,0,Zusatzeingaben!G161)</f>
        <v>0</v>
      </c>
      <c r="H110" s="62">
        <f>IF(Zusatzeingaben!H161&gt;200,0,Zusatzeingaben!H161)</f>
        <v>0</v>
      </c>
      <c r="I110" s="110">
        <f>IF(Zusatzeingaben!I161&gt;200,0,Zusatzeingaben!I161)</f>
        <v>0</v>
      </c>
    </row>
    <row r="111" spans="1:9" ht="16.5" hidden="1" customHeight="1">
      <c r="A111" s="411"/>
      <c r="B111" s="62"/>
      <c r="C111" s="62">
        <f>IF(AND(Zusatzeingaben!C131+Zusatzeingaben!C139&gt;400,Zusatzeingaben!C160&gt;100,Zusatzeingaben!C138&gt;0,Zusatzeingaben!C159+100&gt;Zusatzeingaben!C160),Zusatzeingaben!C159+100,IF(OR(Zusatzeingaben!C153&gt;100,Zusatzeingaben!C156&gt;100),0,IF(AND(Zusatzeingaben!C180&gt;0,Zusatzeingaben!C191&gt;100+Zusatzeingaben!C190),0,C110)))</f>
        <v>0</v>
      </c>
      <c r="D111" s="62">
        <f>IF(AND(Zusatzeingaben!D131+Zusatzeingaben!D139&gt;400,Zusatzeingaben!D160&gt;100,Zusatzeingaben!D138&gt;0,Zusatzeingaben!D159+100&gt;Zusatzeingaben!D160),Zusatzeingaben!D159+100,IF(OR(Zusatzeingaben!D153&gt;100,Zusatzeingaben!D156&gt;100),0,IF(AND(Zusatzeingaben!D180&gt;0,Zusatzeingaben!D191&gt;100+Zusatzeingaben!D190),0,D110)))</f>
        <v>0</v>
      </c>
      <c r="E111" s="62">
        <f>IF(AND(Zusatzeingaben!E131+Zusatzeingaben!E139&gt;400,Zusatzeingaben!E160&gt;100,Zusatzeingaben!E138&gt;0,Zusatzeingaben!E159+100&gt;Zusatzeingaben!E160),Zusatzeingaben!E159+100,IF(OR(Zusatzeingaben!E153&gt;100,Zusatzeingaben!E156&gt;100),0,IF(AND(Zusatzeingaben!E180&gt;0,Zusatzeingaben!E191&gt;100+Zusatzeingaben!E190),0,E110)))</f>
        <v>0</v>
      </c>
      <c r="F111" s="62">
        <f>IF(AND(Zusatzeingaben!F131+Zusatzeingaben!F139&gt;400,Zusatzeingaben!F160&gt;100,Zusatzeingaben!F138&gt;0,Zusatzeingaben!F159+100&gt;Zusatzeingaben!F160),Zusatzeingaben!F159+100,IF(OR(Zusatzeingaben!F153&gt;100,Zusatzeingaben!F156&gt;100),0,IF(AND(Zusatzeingaben!F180&gt;0,Zusatzeingaben!F191&gt;100+Zusatzeingaben!F190),0,F110)))</f>
        <v>0</v>
      </c>
      <c r="G111" s="62">
        <f>IF(AND(Zusatzeingaben!G131+Zusatzeingaben!G139&gt;400,Zusatzeingaben!G160&gt;100,Zusatzeingaben!G138&gt;0,Zusatzeingaben!G159+100&gt;Zusatzeingaben!G160),Zusatzeingaben!G159+100,IF(OR(Zusatzeingaben!G153&gt;100,Zusatzeingaben!G156&gt;100),0,IF(AND(Zusatzeingaben!G180&gt;0,Zusatzeingaben!G191&gt;100+Zusatzeingaben!G190),0,G110)))</f>
        <v>0</v>
      </c>
      <c r="H111" s="62">
        <f>IF(AND(Zusatzeingaben!H131+Zusatzeingaben!H139&gt;400,Zusatzeingaben!H160&gt;100,Zusatzeingaben!H138&gt;0,Zusatzeingaben!H159+100&gt;Zusatzeingaben!H160),Zusatzeingaben!H159+100,IF(OR(Zusatzeingaben!H153&gt;100,Zusatzeingaben!H156&gt;100),0,IF(AND(Zusatzeingaben!H180&gt;0,Zusatzeingaben!H191&gt;100+Zusatzeingaben!H190),0,H110)))</f>
        <v>0</v>
      </c>
      <c r="I111" s="110">
        <f>IF(AND(Zusatzeingaben!I131+Zusatzeingaben!I139&gt;400,Zusatzeingaben!I160&gt;100,Zusatzeingaben!I138&gt;0,Zusatzeingaben!I159+100&gt;Zusatzeingaben!I160),Zusatzeingaben!I159+100,IF(OR(Zusatzeingaben!I153&gt;100,Zusatzeingaben!I156&gt;100),0,IF(AND(Zusatzeingaben!I180&gt;0,Zusatzeingaben!I191&gt;100+Zusatzeingaben!I190),0,I110)))</f>
        <v>0</v>
      </c>
    </row>
    <row r="112" spans="1:9" ht="16.5" hidden="1" customHeight="1">
      <c r="A112" s="411"/>
      <c r="B112" s="62"/>
      <c r="C112" s="62">
        <f>IF(OR(Zusatzeingaben!C161=100,Zusatzeingaben!C161=200),Zusatzeingaben!C161,C111)</f>
        <v>0</v>
      </c>
      <c r="D112" s="62">
        <f>IF(OR(Zusatzeingaben!D161=100,Zusatzeingaben!D161=200),Zusatzeingaben!D161,D111)</f>
        <v>0</v>
      </c>
      <c r="E112" s="62">
        <f>IF(OR(Zusatzeingaben!E161=100,Zusatzeingaben!E161=200),Zusatzeingaben!E161,E111)</f>
        <v>0</v>
      </c>
      <c r="F112" s="62">
        <f>IF(OR(Zusatzeingaben!F161=100,Zusatzeingaben!F161=200),Zusatzeingaben!F161,F111)</f>
        <v>0</v>
      </c>
      <c r="G112" s="62">
        <f>IF(OR(Zusatzeingaben!G161=100,Zusatzeingaben!G161=200),Zusatzeingaben!G161,G111)</f>
        <v>0</v>
      </c>
      <c r="H112" s="62">
        <f>IF(OR(Zusatzeingaben!H161=100,Zusatzeingaben!H161=200),Zusatzeingaben!H161,H111)</f>
        <v>0</v>
      </c>
      <c r="I112" s="110">
        <f>IF(OR(Zusatzeingaben!I161=100,Zusatzeingaben!I161=200),Zusatzeingaben!I161,I111)</f>
        <v>0</v>
      </c>
    </row>
    <row r="113" spans="1:9" ht="16.5" customHeight="1">
      <c r="A113" s="408">
        <f>IF(B113&gt;0,"./. Grundfreibetrag Lohn / Ehrenamt",0)</f>
        <v>0</v>
      </c>
      <c r="B113" s="284">
        <f>SUM(C113:I113)</f>
        <v>0</v>
      </c>
      <c r="C113" s="62">
        <f>IF(AND(Zusatzeingaben!C180&gt;0,Zusatzeingaben!C180&lt;Zusatzeingaben!C191),C112,IF(AND(Zusatzeingaben!C180&gt;0,C111=0,Zusatzeingaben!C191&gt;100),0,IF(C110&lt;100,C110,C112)))</f>
        <v>0</v>
      </c>
      <c r="D113" s="62">
        <f>IF(AND(Zusatzeingaben!D180&gt;0,Zusatzeingaben!D180&lt;Zusatzeingaben!D191),D112,IF(AND(Zusatzeingaben!D180&gt;0,D111=0,Zusatzeingaben!D191&gt;100),0,IF(D110&lt;100,D110,D112)))</f>
        <v>0</v>
      </c>
      <c r="E113" s="62">
        <f>IF(AND(Zusatzeingaben!E180&gt;0,Zusatzeingaben!E180&lt;Zusatzeingaben!E191),E112,IF(AND(Zusatzeingaben!E180&gt;0,E111=0,Zusatzeingaben!E191&gt;100),0,IF(E110&lt;100,E110,E112)))</f>
        <v>0</v>
      </c>
      <c r="F113" s="62">
        <f>IF(AND(Zusatzeingaben!F180&gt;0,Zusatzeingaben!F180&lt;Zusatzeingaben!F191),F112,IF(AND(Zusatzeingaben!F180&gt;0,F111=0,Zusatzeingaben!F191&gt;100),0,IF(F110&lt;100,F110,F112)))</f>
        <v>0</v>
      </c>
      <c r="G113" s="62">
        <f>IF(AND(Zusatzeingaben!G180&gt;0,Zusatzeingaben!G180&lt;Zusatzeingaben!G191),G112,IF(AND(Zusatzeingaben!G180&gt;0,G111=0,Zusatzeingaben!G191&gt;100),0,IF(G110&lt;100,G110,G112)))</f>
        <v>0</v>
      </c>
      <c r="H113" s="62">
        <f>IF(AND(Zusatzeingaben!H180&gt;0,Zusatzeingaben!H180&lt;Zusatzeingaben!H191),H112,IF(AND(Zusatzeingaben!H180&gt;0,H111=0,Zusatzeingaben!H191&gt;100),0,IF(H110&lt;100,H110,H112)))</f>
        <v>0</v>
      </c>
      <c r="I113" s="110">
        <f>IF(AND(Zusatzeingaben!I180&gt;0,Zusatzeingaben!I180&lt;Zusatzeingaben!I191),I112,IF(AND(Zusatzeingaben!I180&gt;0,I111=0,Zusatzeingaben!I191&gt;100),0,IF(I110&lt;100,I110,I112)))</f>
        <v>0</v>
      </c>
    </row>
    <row r="114" spans="1:9" ht="16.5" customHeight="1">
      <c r="A114" s="408">
        <f>IF(B114&gt;0,"./. Freibetrag Freiwilligendienste",0)</f>
        <v>0</v>
      </c>
      <c r="B114" s="284">
        <f t="shared" ref="B114:B120" si="12">SUM(C114:I114)</f>
        <v>0</v>
      </c>
      <c r="C114" s="62">
        <f>Zusatzeingaben!C173</f>
        <v>0</v>
      </c>
      <c r="D114" s="62">
        <f>Zusatzeingaben!D173</f>
        <v>0</v>
      </c>
      <c r="E114" s="62">
        <f>Zusatzeingaben!E173</f>
        <v>0</v>
      </c>
      <c r="F114" s="62">
        <f>Zusatzeingaben!F173</f>
        <v>0</v>
      </c>
      <c r="G114" s="62">
        <f>Zusatzeingaben!G173</f>
        <v>0</v>
      </c>
      <c r="H114" s="62">
        <f>Zusatzeingaben!H173</f>
        <v>0</v>
      </c>
      <c r="I114" s="110">
        <f>Zusatzeingaben!I173</f>
        <v>0</v>
      </c>
    </row>
    <row r="115" spans="1:9" s="212" customFormat="1" ht="16.5" hidden="1" customHeight="1">
      <c r="A115" s="409"/>
      <c r="B115" s="62"/>
      <c r="C115" s="62">
        <f>IF(AND(Zusatzeingaben!C197&gt;0,C58=0),C54*30%,IF(AND(Zusatzeingaben!C34="nein",C58=0),C54*30%,0))</f>
        <v>0</v>
      </c>
      <c r="D115" s="62">
        <f>IF(AND(Zusatzeingaben!D197&gt;0,D58=0),D54*30%,IF(AND(Zusatzeingaben!D34="nein",D58=0),D54*30%,0))</f>
        <v>0</v>
      </c>
      <c r="E115" s="62">
        <f>IF(AND(Zusatzeingaben!E18&gt;14,Zusatzeingaben!E34="nein",E58=0),E54*30%,0)</f>
        <v>0</v>
      </c>
      <c r="F115" s="62">
        <f>IF(AND(Zusatzeingaben!F18&gt;14,Zusatzeingaben!F34="nein",F58=0),F54*30%,0)</f>
        <v>0</v>
      </c>
      <c r="G115" s="62">
        <f>IF(AND(Zusatzeingaben!G18&gt;14,Zusatzeingaben!G34="nein",G58=0),G54*30%,0)</f>
        <v>0</v>
      </c>
      <c r="H115" s="62">
        <f>IF(AND(Zusatzeingaben!H18&gt;14,Zusatzeingaben!H34="nein",H58=0),H54*30%,0)</f>
        <v>0</v>
      </c>
      <c r="I115" s="110">
        <f>IF(AND(Zusatzeingaben!I18&gt;14,Zusatzeingaben!I34="nein",I58=0),I54*30%,0)</f>
        <v>0</v>
      </c>
    </row>
    <row r="116" spans="1:9" s="212" customFormat="1" ht="16.5" hidden="1" customHeight="1">
      <c r="A116" s="409"/>
      <c r="B116" s="62"/>
      <c r="C116" s="62">
        <f>IF(AND(Zusatzeingaben!C197&gt;0,C115=0,C58&gt;0),0,IF(AND(Zusatzeingaben!C34="nein",C115=0,C58&gt;0),0,IF(C115&gt;0,MIN(C115,Zusatzeingaben!$C$233*50%),D190)))</f>
        <v>0</v>
      </c>
      <c r="D116" s="62">
        <f>IF(AND(Zusatzeingaben!D197&gt;0,D115=0,D58&gt;0),0,IF(AND(Zusatzeingaben!D34="nein",D115=0,D58&gt;0),0,IF(D115&gt;0,MIN(D115,Zusatzeingaben!$C$233*50%),D195)))</f>
        <v>0</v>
      </c>
      <c r="E116" s="62">
        <f>IF(AND(Zusatzeingaben!E18&gt;14,Zusatzeingaben!E34="nein",E115=0,E58&gt;0),0,IF(Zusatzeingaben!E18&lt;15,0,IF(E115&gt;0,MIN(E115,Zusatzeingaben!$C$233*50%),D200)))</f>
        <v>0</v>
      </c>
      <c r="F116" s="62">
        <f>IF(AND(Zusatzeingaben!F18&gt;14,Zusatzeingaben!F34="nein",F115=0,F58&gt;0),0,IF(Zusatzeingaben!F18&lt;15,0,IF(F115&gt;0,MIN(F115,Zusatzeingaben!$C$233*50%),D205)))</f>
        <v>0</v>
      </c>
      <c r="G116" s="62">
        <f>IF(AND(Zusatzeingaben!G18&gt;14,Zusatzeingaben!G34="nein",G115=0,G58&gt;0),0,IF(Zusatzeingaben!G18&lt;15,0,IF(G115&gt;0,MIN(G115,Zusatzeingaben!$C$233*50%),D210)))</f>
        <v>0</v>
      </c>
      <c r="H116" s="62">
        <f>IF(AND(Zusatzeingaben!H18&gt;14,Zusatzeingaben!H34="nein",H115=0,H58&gt;0),0,IF(Zusatzeingaben!H18&lt;15,0,IF(H115&gt;0,MIN(H115,Zusatzeingaben!$C$233*50%),D215)))</f>
        <v>0</v>
      </c>
      <c r="I116" s="110">
        <f>IF(AND(Zusatzeingaben!I18&gt;14,Zusatzeingaben!I34="nein",I115=0,I58&gt;0),0,IF(Zusatzeingaben!I18&lt;15,0,IF(I115&gt;0,MIN(I115,Zusatzeingaben!$C$233*50%),D220)))</f>
        <v>0</v>
      </c>
    </row>
    <row r="117" spans="1:9" s="212" customFormat="1" ht="16.5" customHeight="1">
      <c r="A117" s="409">
        <f>IF(B117&gt;0,"./. Freibetrag bei Erwerbstätigkeit",0)</f>
        <v>0</v>
      </c>
      <c r="B117" s="284">
        <f t="shared" si="12"/>
        <v>0</v>
      </c>
      <c r="C117" s="62">
        <f>IF(C54+C58-C113=0,0,IF(C54+C58-C113-C116&lt;0,C54+C58-C113,C116))</f>
        <v>0</v>
      </c>
      <c r="D117" s="62">
        <f t="shared" ref="D117:I117" si="13">IF(D54+D58-D113=0,0,IF(D54+D58-D113-D116&lt;0,D54+D58-D113,D116))</f>
        <v>0</v>
      </c>
      <c r="E117" s="62">
        <f t="shared" si="13"/>
        <v>0</v>
      </c>
      <c r="F117" s="62">
        <f t="shared" si="13"/>
        <v>0</v>
      </c>
      <c r="G117" s="62">
        <f t="shared" si="13"/>
        <v>0</v>
      </c>
      <c r="H117" s="62">
        <f t="shared" si="13"/>
        <v>0</v>
      </c>
      <c r="I117" s="110">
        <f t="shared" si="13"/>
        <v>0</v>
      </c>
    </row>
    <row r="118" spans="1:9" s="212" customFormat="1" ht="16.5" customHeight="1">
      <c r="A118" s="409">
        <f>IF(B118&gt;0,"./. Unterhaltsverpflichtungen",0)</f>
        <v>0</v>
      </c>
      <c r="B118" s="284">
        <f t="shared" si="12"/>
        <v>0</v>
      </c>
      <c r="C118" s="62">
        <f>IF(C70=0,0,Zusatzeingaben!C219)</f>
        <v>0</v>
      </c>
      <c r="D118" s="62">
        <f>IF(D70=0,0,Zusatzeingaben!D219)</f>
        <v>0</v>
      </c>
      <c r="E118" s="62">
        <f>IF(E70=0,0,Zusatzeingaben!E219)</f>
        <v>0</v>
      </c>
      <c r="F118" s="62">
        <f>IF(F70=0,0,Zusatzeingaben!F219)</f>
        <v>0</v>
      </c>
      <c r="G118" s="62">
        <f>IF(G70=0,0,Zusatzeingaben!G219)</f>
        <v>0</v>
      </c>
      <c r="H118" s="62">
        <f>IF(H70=0,0,Zusatzeingaben!H219)</f>
        <v>0</v>
      </c>
      <c r="I118" s="110">
        <f>IF(I70=0,0,Zusatzeingaben!I219)</f>
        <v>0</v>
      </c>
    </row>
    <row r="119" spans="1:9" s="212" customFormat="1" ht="16.5" customHeight="1">
      <c r="A119" s="415">
        <f>IF(B119&gt;0,"./. Elterngeldfreibetrag",0)</f>
        <v>0</v>
      </c>
      <c r="B119" s="284">
        <f t="shared" si="12"/>
        <v>0</v>
      </c>
      <c r="C119" s="62">
        <f>Zusatzeingaben!C179</f>
        <v>0</v>
      </c>
      <c r="D119" s="62">
        <f>Zusatzeingaben!D179</f>
        <v>0</v>
      </c>
      <c r="E119" s="62"/>
      <c r="F119" s="62"/>
      <c r="G119" s="298"/>
      <c r="H119" s="298"/>
      <c r="I119" s="299"/>
    </row>
    <row r="120" spans="1:9" s="212" customFormat="1" ht="18" customHeight="1" thickBot="1">
      <c r="A120" s="416">
        <f>IF(AND(B120&gt;0,C120=Zusatzeingaben!C189),"./. Grundfreibetrag Ausbildungsförderung",IF(AND(B120&gt;0,C120=Zusatzeingaben!C190),"./. Ausgaben für die Ausbildung",0))</f>
        <v>0</v>
      </c>
      <c r="B120" s="285">
        <f t="shared" si="12"/>
        <v>0</v>
      </c>
      <c r="C120" s="286">
        <f>IF(Zusatzeingaben!C191&gt;100,Zusatzeingaben!C190,IF(AND(Zusatzeingaben!C190&gt;0,Zusatzeingaben!C190&gt;Zusatzeingaben!C189),Zusatzeingaben!C190,Zusatzeingaben!C189))</f>
        <v>0</v>
      </c>
      <c r="D120" s="286">
        <f>IF(Zusatzeingaben!D191&gt;100,Zusatzeingaben!D190,IF(AND(Zusatzeingaben!D190&gt;0,Zusatzeingaben!D190&gt;Zusatzeingaben!D189),Zusatzeingaben!D190,Zusatzeingaben!D189))</f>
        <v>0</v>
      </c>
      <c r="E120" s="286">
        <f>IF(Zusatzeingaben!E191&gt;100,Zusatzeingaben!E190,IF(AND(Zusatzeingaben!E190&gt;0,Zusatzeingaben!E190&gt;Zusatzeingaben!E189),Zusatzeingaben!E190,Zusatzeingaben!E189))</f>
        <v>0</v>
      </c>
      <c r="F120" s="286">
        <f>IF(Zusatzeingaben!F191&gt;100,Zusatzeingaben!F190,IF(AND(Zusatzeingaben!F190&gt;0,Zusatzeingaben!F190&gt;Zusatzeingaben!F189),Zusatzeingaben!F190,Zusatzeingaben!F189))</f>
        <v>0</v>
      </c>
      <c r="G120" s="286">
        <f>IF(Zusatzeingaben!G191&gt;100,Zusatzeingaben!G190,IF(AND(Zusatzeingaben!G190&gt;0,Zusatzeingaben!G190&gt;Zusatzeingaben!G189),Zusatzeingaben!G190,Zusatzeingaben!G189))</f>
        <v>0</v>
      </c>
      <c r="H120" s="286">
        <f>IF(Zusatzeingaben!H191&gt;100,Zusatzeingaben!H190,IF(AND(Zusatzeingaben!H190&gt;0,Zusatzeingaben!H190&gt;Zusatzeingaben!H189),Zusatzeingaben!H190,Zusatzeingaben!H189))</f>
        <v>0</v>
      </c>
      <c r="I120" s="287">
        <f>IF(Zusatzeingaben!I191&gt;100,Zusatzeingaben!I190,IF(AND(Zusatzeingaben!I190&gt;0,Zusatzeingaben!I190&gt;Zusatzeingaben!I189),Zusatzeingaben!I190,Zusatzeingaben!I189))</f>
        <v>0</v>
      </c>
    </row>
    <row r="121" spans="1:9" s="212" customFormat="1" ht="18" hidden="1" customHeight="1">
      <c r="A121" s="250"/>
      <c r="B121" s="137">
        <f>SUM(C121:I121)</f>
        <v>0</v>
      </c>
      <c r="C121" s="612">
        <f t="shared" ref="C121:I121" si="14">C70-C76-C82-C87-C92-C98-C104-C108-C109-C113-C114-C117-C118-C119-C120</f>
        <v>0</v>
      </c>
      <c r="D121" s="612">
        <f t="shared" si="14"/>
        <v>0</v>
      </c>
      <c r="E121" s="612">
        <f t="shared" si="14"/>
        <v>0</v>
      </c>
      <c r="F121" s="612">
        <f t="shared" si="14"/>
        <v>0</v>
      </c>
      <c r="G121" s="612">
        <f t="shared" si="14"/>
        <v>0</v>
      </c>
      <c r="H121" s="612">
        <f t="shared" si="14"/>
        <v>0</v>
      </c>
      <c r="I121" s="717">
        <f t="shared" si="14"/>
        <v>0</v>
      </c>
    </row>
    <row r="122" spans="1:9" s="212" customFormat="1" ht="21" customHeight="1" thickTop="1" thickBot="1">
      <c r="A122" s="344" t="s">
        <v>67</v>
      </c>
      <c r="B122" s="280">
        <f>SUM(C122:I122)</f>
        <v>0</v>
      </c>
      <c r="C122" s="280">
        <f>IF(C121&lt;0,0,C121)</f>
        <v>0</v>
      </c>
      <c r="D122" s="280">
        <f t="shared" ref="D122:I122" si="15">IF(D121&lt;0,0,D121)</f>
        <v>0</v>
      </c>
      <c r="E122" s="280">
        <f t="shared" si="15"/>
        <v>0</v>
      </c>
      <c r="F122" s="280">
        <f t="shared" si="15"/>
        <v>0</v>
      </c>
      <c r="G122" s="280">
        <f t="shared" si="15"/>
        <v>0</v>
      </c>
      <c r="H122" s="280">
        <f t="shared" si="15"/>
        <v>0</v>
      </c>
      <c r="I122" s="281">
        <f t="shared" si="15"/>
        <v>0</v>
      </c>
    </row>
    <row r="123" spans="1:9" s="212" customFormat="1" ht="10.5" customHeight="1"/>
    <row r="124" spans="1:9" ht="9.75" customHeight="1" thickBot="1"/>
    <row r="125" spans="1:9" s="212" customFormat="1" ht="21.75" customHeight="1">
      <c r="A125" s="221"/>
      <c r="B125" s="345" t="s">
        <v>44</v>
      </c>
      <c r="C125" s="222"/>
      <c r="D125" s="222"/>
      <c r="E125" s="222"/>
      <c r="F125" s="222"/>
      <c r="G125" s="222"/>
      <c r="H125" s="222"/>
      <c r="I125" s="223"/>
    </row>
    <row r="126" spans="1:9" s="212" customFormat="1" ht="18.75" customHeight="1">
      <c r="A126" s="224"/>
      <c r="B126" s="341" t="s">
        <v>1</v>
      </c>
      <c r="C126" s="341" t="str">
        <f>Zusatzeingaben!C4</f>
        <v>Antragsteller</v>
      </c>
      <c r="D126" s="341" t="str">
        <f>Zusatzeingaben!D4</f>
        <v>Partner(in)</v>
      </c>
      <c r="E126" s="341" t="str">
        <f>Zusatzeingaben!E4</f>
        <v>Kind 1</v>
      </c>
      <c r="F126" s="341" t="s">
        <v>8</v>
      </c>
      <c r="G126" s="341" t="s">
        <v>9</v>
      </c>
      <c r="H126" s="341" t="s">
        <v>10</v>
      </c>
      <c r="I126" s="342" t="s">
        <v>34</v>
      </c>
    </row>
    <row r="127" spans="1:9" s="212" customFormat="1" ht="17.25" customHeight="1">
      <c r="A127" s="230" t="s">
        <v>0</v>
      </c>
      <c r="B127" s="284">
        <f>SUM(C127:I127)</f>
        <v>416</v>
      </c>
      <c r="C127" s="295">
        <f t="shared" ref="C127:I127" si="16">C50</f>
        <v>416</v>
      </c>
      <c r="D127" s="295">
        <f t="shared" si="16"/>
        <v>0</v>
      </c>
      <c r="E127" s="295">
        <f t="shared" si="16"/>
        <v>0</v>
      </c>
      <c r="F127" s="295">
        <f t="shared" si="16"/>
        <v>0</v>
      </c>
      <c r="G127" s="295">
        <f t="shared" si="16"/>
        <v>0</v>
      </c>
      <c r="H127" s="295">
        <f t="shared" si="16"/>
        <v>0</v>
      </c>
      <c r="I127" s="296">
        <f t="shared" si="16"/>
        <v>0</v>
      </c>
    </row>
    <row r="128" spans="1:9" s="212" customFormat="1" ht="19.5" customHeight="1" thickBot="1">
      <c r="A128" s="245">
        <f>IF(B128&gt;0,"./. Einkommen Kinder",0)</f>
        <v>0</v>
      </c>
      <c r="B128" s="433">
        <f>SUM(C128:I128)</f>
        <v>0</v>
      </c>
      <c r="C128" s="311"/>
      <c r="D128" s="311"/>
      <c r="E128" s="312">
        <f>E122</f>
        <v>0</v>
      </c>
      <c r="F128" s="312">
        <f>F122</f>
        <v>0</v>
      </c>
      <c r="G128" s="312">
        <f>G122</f>
        <v>0</v>
      </c>
      <c r="H128" s="312">
        <f>H122</f>
        <v>0</v>
      </c>
      <c r="I128" s="313">
        <f>I122</f>
        <v>0</v>
      </c>
    </row>
    <row r="129" spans="1:11" s="212" customFormat="1" ht="17.25" hidden="1" customHeight="1">
      <c r="A129" s="246"/>
      <c r="B129" s="314"/>
      <c r="C129" s="314"/>
      <c r="D129" s="314"/>
      <c r="E129" s="128">
        <f>E127-E128</f>
        <v>0</v>
      </c>
      <c r="F129" s="128">
        <f>F127-F128</f>
        <v>0</v>
      </c>
      <c r="G129" s="128">
        <f>G127-G128</f>
        <v>0</v>
      </c>
      <c r="H129" s="128">
        <f>H127-H128</f>
        <v>0</v>
      </c>
      <c r="I129" s="190">
        <f>I127-I128</f>
        <v>0</v>
      </c>
    </row>
    <row r="130" spans="1:11" ht="17.25" hidden="1" customHeight="1">
      <c r="A130" s="243"/>
      <c r="B130" s="315"/>
      <c r="C130" s="316"/>
      <c r="D130" s="316"/>
      <c r="E130" s="316">
        <f>IF(E129&lt;0,0,E129)</f>
        <v>0</v>
      </c>
      <c r="F130" s="316">
        <f>IF(F129&lt;0,0,F129)</f>
        <v>0</v>
      </c>
      <c r="G130" s="316">
        <f>IF(G129&lt;0,0,G129)</f>
        <v>0</v>
      </c>
      <c r="H130" s="316">
        <f>IF(H129&lt;0,0,H129)</f>
        <v>0</v>
      </c>
      <c r="I130" s="317">
        <f>IF(I129&lt;0,0,I129)</f>
        <v>0</v>
      </c>
    </row>
    <row r="131" spans="1:11" ht="19.5" customHeight="1" thickTop="1">
      <c r="A131" s="230" t="s">
        <v>36</v>
      </c>
      <c r="B131" s="284">
        <f>SUM(C131:I131)</f>
        <v>416</v>
      </c>
      <c r="C131" s="295">
        <f>C127</f>
        <v>416</v>
      </c>
      <c r="D131" s="295">
        <f>D127</f>
        <v>0</v>
      </c>
      <c r="E131" s="295">
        <f>E130</f>
        <v>0</v>
      </c>
      <c r="F131" s="295">
        <f>F130</f>
        <v>0</v>
      </c>
      <c r="G131" s="295">
        <f>G130</f>
        <v>0</v>
      </c>
      <c r="H131" s="295">
        <f>H130</f>
        <v>0</v>
      </c>
      <c r="I131" s="296">
        <f>I130</f>
        <v>0</v>
      </c>
      <c r="K131" s="439"/>
    </row>
    <row r="132" spans="1:11" ht="18" hidden="1" customHeight="1">
      <c r="A132" s="230"/>
      <c r="B132" s="284">
        <f>SUM(C132:I132)</f>
        <v>416</v>
      </c>
      <c r="C132" s="295">
        <f t="shared" ref="C132:I132" si="17">IF(C10="ja",C131,0)</f>
        <v>416</v>
      </c>
      <c r="D132" s="295">
        <f t="shared" si="17"/>
        <v>0</v>
      </c>
      <c r="E132" s="295">
        <f>IF(AND(Zusatzeingaben!E37=0,E10="ja"),E131,0)</f>
        <v>0</v>
      </c>
      <c r="F132" s="295">
        <f t="shared" si="17"/>
        <v>0</v>
      </c>
      <c r="G132" s="295">
        <f t="shared" si="17"/>
        <v>0</v>
      </c>
      <c r="H132" s="295">
        <f t="shared" si="17"/>
        <v>0</v>
      </c>
      <c r="I132" s="296">
        <f t="shared" si="17"/>
        <v>0</v>
      </c>
    </row>
    <row r="133" spans="1:11" ht="17.25" customHeight="1">
      <c r="A133" s="247" t="s">
        <v>37</v>
      </c>
      <c r="B133" s="430">
        <f>SUM(C133:I133)</f>
        <v>1</v>
      </c>
      <c r="C133" s="318">
        <f>IF(AND(B132&gt;0,C10="ja"),C132/B132,0)</f>
        <v>1</v>
      </c>
      <c r="D133" s="318">
        <f t="shared" ref="D133:I133" si="18">IF(AND($B$132&gt;0,D11&gt;0,D10="ja"),D132/$B$132,0)</f>
        <v>0</v>
      </c>
      <c r="E133" s="318">
        <f t="shared" si="18"/>
        <v>0</v>
      </c>
      <c r="F133" s="318">
        <f t="shared" si="18"/>
        <v>0</v>
      </c>
      <c r="G133" s="318">
        <f t="shared" si="18"/>
        <v>0</v>
      </c>
      <c r="H133" s="318">
        <f t="shared" si="18"/>
        <v>0</v>
      </c>
      <c r="I133" s="319">
        <f t="shared" si="18"/>
        <v>0</v>
      </c>
    </row>
    <row r="134" spans="1:11" ht="19.5" hidden="1" customHeight="1">
      <c r="A134" s="244"/>
      <c r="B134" s="284"/>
      <c r="C134" s="318"/>
      <c r="D134" s="318"/>
      <c r="E134" s="62">
        <f>IF(E129&lt;0,E129,0)</f>
        <v>0</v>
      </c>
      <c r="F134" s="62">
        <f>IF(F129&lt;0,F129,0)</f>
        <v>0</v>
      </c>
      <c r="G134" s="62">
        <f>IF(G129&lt;0,G129,0)</f>
        <v>0</v>
      </c>
      <c r="H134" s="62">
        <f>IF(H129&lt;0,H129,0)</f>
        <v>0</v>
      </c>
      <c r="I134" s="110">
        <f>IF(I129&lt;0,I129,0)</f>
        <v>0</v>
      </c>
    </row>
    <row r="135" spans="1:11" hidden="1">
      <c r="A135" s="248"/>
      <c r="B135" s="320"/>
      <c r="C135" s="137"/>
      <c r="D135" s="137"/>
      <c r="E135" s="137">
        <f>IF(E134&lt;-E62,-E62,E134)</f>
        <v>0</v>
      </c>
      <c r="F135" s="137">
        <f>IF(F134&lt;-F62,-F62,F134)</f>
        <v>0</v>
      </c>
      <c r="G135" s="137">
        <f>IF(G134&lt;-G62,-G62,G134)</f>
        <v>0</v>
      </c>
      <c r="H135" s="137">
        <f>IF(H134&lt;-H62,-H62,H134)</f>
        <v>0</v>
      </c>
      <c r="I135" s="175">
        <f>IF(I134&lt;-I62,-I62,I134)</f>
        <v>0</v>
      </c>
    </row>
    <row r="136" spans="1:11" ht="19.5" hidden="1" customHeight="1">
      <c r="A136" s="248"/>
      <c r="B136" s="320"/>
      <c r="C136" s="137"/>
      <c r="D136" s="137"/>
      <c r="E136" s="137">
        <f>-E135*1</f>
        <v>0</v>
      </c>
      <c r="F136" s="137">
        <f>-F135*1</f>
        <v>0</v>
      </c>
      <c r="G136" s="137">
        <f>-G135*1</f>
        <v>0</v>
      </c>
      <c r="H136" s="137">
        <f>-H135*1</f>
        <v>0</v>
      </c>
      <c r="I136" s="175">
        <f>-I135*1</f>
        <v>0</v>
      </c>
    </row>
    <row r="137" spans="1:11" ht="18" customHeight="1">
      <c r="A137" s="249">
        <f>IF(C137&gt;0,"übertragbares Kindergeld",0)</f>
        <v>0</v>
      </c>
      <c r="B137" s="321"/>
      <c r="C137" s="322">
        <f>SUM(E136:I136)</f>
        <v>0</v>
      </c>
      <c r="D137" s="323"/>
      <c r="E137" s="323"/>
      <c r="F137" s="323"/>
      <c r="G137" s="323"/>
      <c r="H137" s="323"/>
      <c r="I137" s="324"/>
    </row>
    <row r="138" spans="1:11" ht="19.5" hidden="1" customHeight="1">
      <c r="A138" s="249"/>
      <c r="B138" s="314"/>
      <c r="C138" s="322">
        <f>IF(AND(C122=0,C137&gt;0),30+Zusatzeingaben!C204+Zusatzeingaben!C205+Zusatzeingaben!C213,0)</f>
        <v>0</v>
      </c>
      <c r="D138" s="322">
        <f>IF(AND(D122=0,D137&gt;0),30+Zusatzeingaben!D204+Zusatzeingaben!D205+Zusatzeingaben!D213,0)</f>
        <v>0</v>
      </c>
      <c r="E138" s="322">
        <f>IF(AND(E122=0,E137&gt;0),30+Zusatzeingaben!E204+Zusatzeingaben!E205+Zusatzeingaben!E213,0)</f>
        <v>0</v>
      </c>
      <c r="F138" s="322">
        <f>IF(AND(F122=0,F137&gt;0),30+Zusatzeingaben!F204+Zusatzeingaben!F205+Zusatzeingaben!F213,0)</f>
        <v>0</v>
      </c>
      <c r="G138" s="322">
        <f>IF(AND(G122=0,G137&gt;0),30+Zusatzeingaben!G204+Zusatzeingaben!G205+Zusatzeingaben!G213,0)</f>
        <v>0</v>
      </c>
      <c r="H138" s="322">
        <f>IF(AND(H122=0,H137&gt;0),30+Zusatzeingaben!H204+Zusatzeingaben!H205+Zusatzeingaben!H213,0)</f>
        <v>0</v>
      </c>
      <c r="I138" s="322">
        <f>IF(AND(I122=0,I137&gt;0),30+Zusatzeingaben!I204+Zusatzeingaben!I205+Zusatzeingaben!I213,0)</f>
        <v>0</v>
      </c>
    </row>
    <row r="139" spans="1:11" ht="19.5" hidden="1" customHeight="1">
      <c r="A139" s="249"/>
      <c r="B139" s="314"/>
      <c r="C139" s="322">
        <f>C137-C138</f>
        <v>0</v>
      </c>
      <c r="D139" s="323"/>
      <c r="E139" s="323"/>
      <c r="F139" s="323"/>
      <c r="G139" s="323"/>
      <c r="H139" s="323"/>
      <c r="I139" s="324"/>
    </row>
    <row r="140" spans="1:11" ht="19.5" hidden="1" customHeight="1">
      <c r="A140" s="249"/>
      <c r="B140" s="314"/>
      <c r="C140" s="322">
        <f>IF(C139&lt;0,0,C139)</f>
        <v>0</v>
      </c>
      <c r="D140" s="323"/>
      <c r="E140" s="323"/>
      <c r="F140" s="323"/>
      <c r="G140" s="323"/>
      <c r="H140" s="323"/>
      <c r="I140" s="324"/>
    </row>
    <row r="141" spans="1:11" ht="17.25" customHeight="1">
      <c r="A141" s="247" t="s">
        <v>22</v>
      </c>
      <c r="B141" s="975">
        <f>C141+D141</f>
        <v>0</v>
      </c>
      <c r="C141" s="62">
        <f>C122+C140</f>
        <v>0</v>
      </c>
      <c r="D141" s="62">
        <f>D122</f>
        <v>0</v>
      </c>
      <c r="E141" s="325"/>
      <c r="F141" s="325"/>
      <c r="G141" s="325"/>
      <c r="H141" s="325"/>
      <c r="I141" s="326"/>
    </row>
    <row r="142" spans="1:11" hidden="1">
      <c r="A142" s="250"/>
      <c r="B142" s="327"/>
      <c r="C142" s="137">
        <f>C127-C141</f>
        <v>416</v>
      </c>
      <c r="D142" s="137">
        <f>D127-D141</f>
        <v>0</v>
      </c>
      <c r="E142" s="327"/>
      <c r="F142" s="327"/>
      <c r="G142" s="327"/>
      <c r="H142" s="327"/>
      <c r="I142" s="328"/>
    </row>
    <row r="143" spans="1:11" hidden="1">
      <c r="A143" s="250"/>
      <c r="B143" s="327"/>
      <c r="C143" s="137">
        <f>-1*C142</f>
        <v>-416</v>
      </c>
      <c r="D143" s="137">
        <f>-1*D142</f>
        <v>0</v>
      </c>
      <c r="E143" s="327"/>
      <c r="F143" s="327"/>
      <c r="G143" s="327"/>
      <c r="H143" s="327"/>
      <c r="I143" s="328"/>
    </row>
    <row r="144" spans="1:11" hidden="1">
      <c r="A144" s="250"/>
      <c r="B144" s="327"/>
      <c r="C144" s="137">
        <f>IF(C143&gt;0,C143,0)</f>
        <v>0</v>
      </c>
      <c r="D144" s="137">
        <f>IF(D143&gt;0,D143,0)</f>
        <v>0</v>
      </c>
      <c r="E144" s="137"/>
      <c r="F144" s="137"/>
      <c r="G144" s="137"/>
      <c r="H144" s="137"/>
      <c r="I144" s="175"/>
    </row>
    <row r="145" spans="1:12">
      <c r="A145" s="247">
        <f>IF(B145&gt;0,"./. nicht verteilbares Einkommen",0)</f>
        <v>0</v>
      </c>
      <c r="B145" s="284">
        <f>C145+D145</f>
        <v>0</v>
      </c>
      <c r="C145" s="62">
        <f>IF(AND($B$7&gt;2,D133&gt;0,C133=0,SUM(D131:$I$131)&lt;D141),C141,IF(OR(C10="nur Mehrbedarf",C10="nein"),C141-C146,0))</f>
        <v>0</v>
      </c>
      <c r="D145" s="62">
        <f>IF(AND($B$7&gt;2,C133&gt;0,D133=0,C131+SUM($E$131:$I$131)&lt;C141),D141,IF(OR(D10="nur Mehrbedarf",D10="nein"),D141-D146,0))</f>
        <v>0</v>
      </c>
      <c r="E145" s="62"/>
      <c r="F145" s="62"/>
      <c r="G145" s="62"/>
      <c r="H145" s="62"/>
      <c r="I145" s="110"/>
    </row>
    <row r="146" spans="1:12" ht="17.25" customHeight="1">
      <c r="A146" s="230" t="s">
        <v>38</v>
      </c>
      <c r="B146" s="430">
        <f>C146+D146</f>
        <v>0</v>
      </c>
      <c r="C146" s="62">
        <f>IF(AND($B$7&gt;2,D133&gt;0,C133=0,SUM(D131:$I$131)&lt;D141),0,IF(AND(C10="nur Mehrbedarf",C141&lt;C131+C150),0,IF(AND(C10="nur Mehrbedarf",C144&gt;C150),C144-C150,IF(AND(C10="nein",C144&gt;0),C144,IF(AND(C10="nur Mehrbedarf",C144=0),0,IF(AND(C10="nein",C144=0),0,C141))))))</f>
        <v>0</v>
      </c>
      <c r="D146" s="62">
        <f>IF(AND($B$7&gt;2,C133&gt;0,D133=0,C131+SUM($E$131:$I$131)&lt;C141),0,IF(AND(D10="nur Mehrbedarf",D141&lt;D131+D150),0,IF(AND(D10="nur Mehrbedarf",D144&gt;D150),D144-D150,IF(AND(D10="nein",D144&gt;0),D144,IF(AND(D10="nur Mehrbedarf",D144=0),0,IF(AND(D10="nein",D144=0),0,D141))))))</f>
        <v>0</v>
      </c>
      <c r="E146" s="306"/>
      <c r="F146" s="306"/>
      <c r="G146" s="306"/>
      <c r="H146" s="306"/>
      <c r="I146" s="434"/>
    </row>
    <row r="147" spans="1:12" ht="17.25" hidden="1" customHeight="1">
      <c r="A147" s="435"/>
      <c r="B147" s="298">
        <f t="shared" ref="B147:B151" si="19">SUM(C147:I147)</f>
        <v>0</v>
      </c>
      <c r="C147" s="62">
        <f>IF(AND($B$133=0,D131=0),C146,IF(AND($B$133=0,D146&gt;0,C131&gt;0),D146,IF(AND($B$7&gt;2,C133=0,D133=0,D146+C145&lt;C131),D146,IF(AND($B$7&gt;2,C133=0,D133=0,D146+C145&gt;C131),C131+D131-B145,IF(AND($B$7=2,C133&gt;0,D10="nur Mehrbedarf",D150+D131&gt;D141,C141&gt;C131),C131,$B$146*C133)))))</f>
        <v>0</v>
      </c>
      <c r="D147" s="62">
        <f>IF(AND($B$133=0,C131=0),D146,IF(AND($B$133=0,C146&gt;0,D131&gt;0),C146,IF(AND($B$7&gt;2,D131&gt;0,D133=0,C133=0,C146+D145&lt;D131),C146,IF(AND(B7&gt;2,D131&gt;0,C133=0,D133=0,C146+D145&gt;D131),C131+D131-B145,IF(AND($B$7=2,C10="nur Mehrbedarf",D133&gt;0,C150+C131&gt;C141,D141&gt;D131),D131,$B$146*D133)))))</f>
        <v>0</v>
      </c>
      <c r="E147" s="62">
        <f>IF(AND($C$150&gt;0,$C$146=0,$B$146*E133&gt;E131,$D$146&lt;$D$131+SUM($E$131:$I$131)),E131,IF(AND($D$150&gt;0,$D$146=0,$B$146*E133&gt;E131,$C$146&lt;$C$131+SUM($E$131:$I$131)),E131,IF(AND($B$7&gt;2,$C$133=0,$D$133=0,$C$131+$D$131&gt;$B$141),0,IF(AND($B$7&gt;2,E131&gt;0,$C$133=0,$D$133=0,$C$131+$D$131&lt;$B$141),($B$141-($C$131+$D$131))*E133,$B$146*E133))))</f>
        <v>0</v>
      </c>
      <c r="F147" s="62">
        <f t="shared" ref="F147:I147" si="20">IF(AND($C$150&gt;0,$C$146=0,$B$146*F133&gt;F131,$D$146&lt;$D$131+SUM($E$131:$I$131)),F131,IF(AND($D$150&gt;0,$D$146=0,$B$146*F133&gt;F131,$C$146&lt;$C$131+SUM($E$131:$I$131)),F131,IF(AND($B$7&gt;2,$C$133=0,$D$133=0,$C$131+$D$131&gt;$B$141),0,IF(AND($B$7&gt;2,F131&gt;0,$C$133=0,$D$133=0,$C$131+$D$131&lt;$B$141),($B$141-($C$131+$D$131))*F133,$B$146*F133))))</f>
        <v>0</v>
      </c>
      <c r="G147" s="62">
        <f t="shared" si="20"/>
        <v>0</v>
      </c>
      <c r="H147" s="62">
        <f t="shared" si="20"/>
        <v>0</v>
      </c>
      <c r="I147" s="62">
        <f t="shared" si="20"/>
        <v>0</v>
      </c>
    </row>
    <row r="148" spans="1:12" ht="18.75" customHeight="1" thickBot="1">
      <c r="A148" s="245" t="s">
        <v>40</v>
      </c>
      <c r="B148" s="285">
        <f t="shared" si="19"/>
        <v>0</v>
      </c>
      <c r="C148" s="438">
        <f>IF(C147&lt;0,0,IF(AND(C150&gt;0,D146&gt;0,D146&lt;&gt;C147,C146&gt;0,C145&lt;C131+C150),C146+C147,IF(AND(D133&gt;0,C133=0,D146&gt;D147+E147+F147+G147+H147+I147),D146-D147-E147-F147-G147-H147-I147,IF(AND($B$7=2,$B$133=0,C146&gt;0,D146&gt;0),C146,IF(AND($B$7&gt;2,C133+D133=0,C146&gt;0,D146&gt;0),($B$146-E147-F147-G147-H147-I147)*C131/(C131+D131),C147)))))</f>
        <v>0</v>
      </c>
      <c r="D148" s="438">
        <f>IF(D147&lt;0,0,IF(AND(D150&gt;0,C146&gt;0,C146&lt;&gt;D147,D146&gt;0,D145&lt;D131+D150),D146+D147,IF(AND(C133&gt;0,D133=0,C146&gt;C147+E147+F147+G147+H147+I147),C146-C147-E147-F147-G147-H147-I147,IF(AND($B$7=2,$B$133=0,C146&gt;0,D146&gt;0),D146,IF(AND($B$7&gt;2,C133+D133=0,C146&gt;0,D146&gt;0),($B$146-E147-F147-G147-H147-I147)*D131/(C131+D131),D147)))))</f>
        <v>0</v>
      </c>
      <c r="E148" s="436">
        <f>IF(AND($C$147=0,$D$147=0,$B$147&lt;$B$146),$B$146*E133,E147)</f>
        <v>0</v>
      </c>
      <c r="F148" s="436">
        <f>IF(AND($C$147=0,$D$147=0,$B$147&lt;$B$146),$B$146*F133,F147)</f>
        <v>0</v>
      </c>
      <c r="G148" s="436">
        <f>IF(AND($C$147=0,$D$147=0,$B$147&lt;$B$146),$B$146*G133,G147)</f>
        <v>0</v>
      </c>
      <c r="H148" s="436">
        <f>IF(AND($C$147=0,$D$147=0,$B$147&lt;$B$146),$B$146*H133,H147)</f>
        <v>0</v>
      </c>
      <c r="I148" s="437">
        <f>IF(AND($C$147=0,$D$147=0,$B$147&lt;$B$146),$B$146*I133,I147)</f>
        <v>0</v>
      </c>
    </row>
    <row r="149" spans="1:12" ht="19.5" customHeight="1" thickTop="1">
      <c r="A149" s="251" t="s">
        <v>125</v>
      </c>
      <c r="B149" s="297">
        <f t="shared" si="19"/>
        <v>416</v>
      </c>
      <c r="C149" s="297">
        <f>C131-C145-C148</f>
        <v>416</v>
      </c>
      <c r="D149" s="297">
        <f>D131-D145-D148</f>
        <v>0</v>
      </c>
      <c r="E149" s="297">
        <f>E131-E148</f>
        <v>0</v>
      </c>
      <c r="F149" s="297">
        <f>F131-F148</f>
        <v>0</v>
      </c>
      <c r="G149" s="297">
        <f>G131-G148</f>
        <v>0</v>
      </c>
      <c r="H149" s="297">
        <f>H131-H148</f>
        <v>0</v>
      </c>
      <c r="I149" s="329">
        <f>I131-I148</f>
        <v>0</v>
      </c>
    </row>
    <row r="150" spans="1:12" ht="18" customHeight="1">
      <c r="A150" s="247">
        <f>IF(B150&gt;0,"Mehrbedarf nach § 27 (2) SGB II",0)</f>
        <v>0</v>
      </c>
      <c r="B150" s="440">
        <f t="shared" si="19"/>
        <v>0</v>
      </c>
      <c r="C150" s="295">
        <f>IF(C10="nur Mehrbedarf",Zusatzeingaben!C45+Zusatzeingaben!B46+Zusatzeingaben!C93+Zusatzeingaben!C94,0)</f>
        <v>0</v>
      </c>
      <c r="D150" s="295">
        <f>IF(D10="nur Mehrbedarf",Zusatzeingaben!D45+Zusatzeingaben!D93+Zusatzeingaben!D94,0)</f>
        <v>0</v>
      </c>
      <c r="E150" s="62"/>
      <c r="F150" s="62"/>
      <c r="G150" s="62"/>
      <c r="H150" s="62"/>
      <c r="I150" s="110"/>
    </row>
    <row r="151" spans="1:12" ht="17.25" customHeight="1">
      <c r="A151" s="721">
        <f>IF(B151&gt;0,"./. Überschuss",0)</f>
        <v>0</v>
      </c>
      <c r="B151" s="430">
        <f t="shared" si="19"/>
        <v>0</v>
      </c>
      <c r="C151" s="62">
        <f>IF(AND(C10="nur Mehrbedarf",$B$149&lt;0,D149&lt;0),$B$149*-1,IF(AND(C10="nur Mehrbedarf",$B$149&lt;0,$E$149&lt;0),$B$149*-1,IF(AND(C10="nur Mehrbedarf",D149&gt;=0,C149&lt;0),C149*-1,0)))</f>
        <v>0</v>
      </c>
      <c r="D151" s="62">
        <f>IF(AND(D10="nur Mehrbedarf",$B$149&lt;0,C149&lt;0),$B$149*-1,IF(AND(D10="nur Mehrbedarf",$B$149&lt;0,$E$149&lt;0),$B$149*-1,IF(AND(D10="nur Mehrbedarf",C149&gt;=0,D149&lt;0),D149*-1,0)))</f>
        <v>0</v>
      </c>
      <c r="E151" s="62"/>
      <c r="F151" s="62"/>
      <c r="G151" s="62"/>
      <c r="H151" s="62"/>
      <c r="I151" s="110"/>
    </row>
    <row r="152" spans="1:12" ht="17.25" hidden="1" customHeight="1">
      <c r="A152" s="722"/>
      <c r="B152" s="720"/>
      <c r="C152" s="668">
        <f>C149-C157</f>
        <v>416</v>
      </c>
      <c r="D152" s="668">
        <f t="shared" ref="D152:I152" si="21">D149-D157</f>
        <v>0</v>
      </c>
      <c r="E152" s="668">
        <f t="shared" si="21"/>
        <v>0</v>
      </c>
      <c r="F152" s="668">
        <f t="shared" si="21"/>
        <v>0</v>
      </c>
      <c r="G152" s="668">
        <f t="shared" si="21"/>
        <v>0</v>
      </c>
      <c r="H152" s="668">
        <f t="shared" si="21"/>
        <v>0</v>
      </c>
      <c r="I152" s="669">
        <f t="shared" si="21"/>
        <v>0</v>
      </c>
    </row>
    <row r="153" spans="1:12" ht="17.25" hidden="1" customHeight="1">
      <c r="A153" s="224"/>
      <c r="B153" s="62"/>
      <c r="C153" s="668">
        <f>IF(Zusatzeingaben!C221="einmal",C11*10%,IF(Zusatzeingaben!C221="zweimal",C11*20%,IF(Zusatzeingaben!C221="dreimal",C11*30%,0)))</f>
        <v>0</v>
      </c>
      <c r="D153" s="668">
        <f>IF(Zusatzeingaben!D221="einmal",D11*10%,IF(Zusatzeingaben!D221="zweimal",D11*20%,IF(Zusatzeingaben!D221="dreimal",D11*30%,0)))</f>
        <v>0</v>
      </c>
      <c r="E153" s="668">
        <f>IF(Zusatzeingaben!E221="einmal",E11*10%,IF(Zusatzeingaben!E221="zweimal",E11*20%,IF(Zusatzeingaben!E221="dreimal",E11*30%,0)))</f>
        <v>0</v>
      </c>
      <c r="F153" s="668">
        <f>IF(Zusatzeingaben!F221="einmal",F11*10%,IF(Zusatzeingaben!F221="zweimal",F11*20%,IF(Zusatzeingaben!F221="dreimal",F11*30%,0)))</f>
        <v>0</v>
      </c>
      <c r="G153" s="668">
        <f>IF(Zusatzeingaben!G221="einmal",G11*10%,IF(Zusatzeingaben!G221="zweimal",G11*20%,IF(Zusatzeingaben!G221="dreimal",G11*30%,0)))</f>
        <v>0</v>
      </c>
      <c r="H153" s="668">
        <f>IF(Zusatzeingaben!H221="einmal",H11*10%,IF(Zusatzeingaben!H221="zweimal",H11*20%,IF(Zusatzeingaben!H221="dreimal",H11*30%,0)))</f>
        <v>0</v>
      </c>
      <c r="I153" s="669">
        <f>IF(Zusatzeingaben!I221="einmal",I11*10%,IF(Zusatzeingaben!I221="zweimal",I11*20%,IF(Zusatzeingaben!I221="dreimal",I11*30%,0)))</f>
        <v>0</v>
      </c>
    </row>
    <row r="154" spans="1:12" ht="17.25" hidden="1" customHeight="1">
      <c r="A154" s="722"/>
      <c r="B154" s="62"/>
      <c r="C154" s="62">
        <f t="shared" ref="C154:I154" si="22">IF(C152&gt;C149,C149,C152)</f>
        <v>416</v>
      </c>
      <c r="D154" s="62">
        <f t="shared" si="22"/>
        <v>0</v>
      </c>
      <c r="E154" s="62">
        <f t="shared" si="22"/>
        <v>0</v>
      </c>
      <c r="F154" s="62">
        <f t="shared" si="22"/>
        <v>0</v>
      </c>
      <c r="G154" s="62">
        <f t="shared" si="22"/>
        <v>0</v>
      </c>
      <c r="H154" s="62">
        <f t="shared" si="22"/>
        <v>0</v>
      </c>
      <c r="I154" s="110">
        <f t="shared" si="22"/>
        <v>0</v>
      </c>
    </row>
    <row r="155" spans="1:12" ht="17.25" customHeight="1">
      <c r="A155" s="721">
        <f>IF(B155&gt;0,"./. Minderung Meldeversäumnis",0)</f>
        <v>0</v>
      </c>
      <c r="B155" s="284">
        <f>SUM(C155:I155)</f>
        <v>0</v>
      </c>
      <c r="C155" s="62">
        <f>IF(OR(C149&lt;0,C153=0),0,MIN(C154,C153))</f>
        <v>0</v>
      </c>
      <c r="D155" s="62">
        <f t="shared" ref="D155:I155" si="23">IF(OR(D149&lt;0,D153=0),0,MIN(D154,D153))</f>
        <v>0</v>
      </c>
      <c r="E155" s="62">
        <f t="shared" si="23"/>
        <v>0</v>
      </c>
      <c r="F155" s="62">
        <f t="shared" si="23"/>
        <v>0</v>
      </c>
      <c r="G155" s="62">
        <f t="shared" si="23"/>
        <v>0</v>
      </c>
      <c r="H155" s="62">
        <f t="shared" si="23"/>
        <v>0</v>
      </c>
      <c r="I155" s="110">
        <f t="shared" si="23"/>
        <v>0</v>
      </c>
    </row>
    <row r="156" spans="1:12" ht="17.25" hidden="1" customHeight="1">
      <c r="A156" s="411"/>
      <c r="B156" s="719"/>
      <c r="C156" s="132">
        <f>Zusatzeingaben!C225</f>
        <v>0</v>
      </c>
      <c r="D156" s="132">
        <f>Zusatzeingaben!D225</f>
        <v>0</v>
      </c>
      <c r="E156" s="132">
        <f>Zusatzeingaben!E225</f>
        <v>0</v>
      </c>
      <c r="F156" s="132">
        <f>Zusatzeingaben!F225</f>
        <v>0</v>
      </c>
      <c r="G156" s="132">
        <f>Zusatzeingaben!G225</f>
        <v>0</v>
      </c>
      <c r="H156" s="132">
        <f>Zusatzeingaben!H225</f>
        <v>0</v>
      </c>
      <c r="I156" s="133">
        <f>Zusatzeingaben!I225</f>
        <v>0</v>
      </c>
    </row>
    <row r="157" spans="1:12" ht="17.25" hidden="1" customHeight="1">
      <c r="A157" s="408"/>
      <c r="B157" s="429"/>
      <c r="C157" s="668">
        <f t="shared" ref="C157:I157" si="24">IF(C156&gt;C149,C149,C156)</f>
        <v>0</v>
      </c>
      <c r="D157" s="668">
        <f t="shared" si="24"/>
        <v>0</v>
      </c>
      <c r="E157" s="668">
        <f t="shared" si="24"/>
        <v>0</v>
      </c>
      <c r="F157" s="668">
        <f t="shared" si="24"/>
        <v>0</v>
      </c>
      <c r="G157" s="668">
        <f t="shared" si="24"/>
        <v>0</v>
      </c>
      <c r="H157" s="668">
        <f t="shared" si="24"/>
        <v>0</v>
      </c>
      <c r="I157" s="669">
        <f t="shared" si="24"/>
        <v>0</v>
      </c>
    </row>
    <row r="158" spans="1:12" ht="18" customHeight="1" thickBot="1">
      <c r="A158" s="670">
        <f>IF(B158&gt;0,"./. Minderung Pflichtverletzung",0)</f>
        <v>0</v>
      </c>
      <c r="B158" s="671">
        <f>SUM(C158:I158)</f>
        <v>0</v>
      </c>
      <c r="C158" s="672">
        <f>IF(C157&lt;0,0,C157)</f>
        <v>0</v>
      </c>
      <c r="D158" s="286">
        <f t="shared" ref="D158:I158" si="25">IF(D157&lt;0,0,D157)</f>
        <v>0</v>
      </c>
      <c r="E158" s="286">
        <f t="shared" si="25"/>
        <v>0</v>
      </c>
      <c r="F158" s="286">
        <f t="shared" si="25"/>
        <v>0</v>
      </c>
      <c r="G158" s="286">
        <f t="shared" si="25"/>
        <v>0</v>
      </c>
      <c r="H158" s="286">
        <f t="shared" si="25"/>
        <v>0</v>
      </c>
      <c r="I158" s="287">
        <f t="shared" si="25"/>
        <v>0</v>
      </c>
    </row>
    <row r="159" spans="1:12" s="212" customFormat="1" ht="16.5" hidden="1" customHeight="1" thickTop="1">
      <c r="A159" s="253"/>
      <c r="B159" s="213"/>
      <c r="C159" s="214">
        <f>IF(C10="nur Mehrbedarf",C150-C151,0)</f>
        <v>0</v>
      </c>
      <c r="D159" s="214">
        <f>IF(D10="nur Mehrbedarf",D150-D151,0)</f>
        <v>0</v>
      </c>
      <c r="E159" s="214"/>
      <c r="F159" s="214"/>
      <c r="G159" s="214"/>
      <c r="H159" s="214"/>
      <c r="I159" s="254"/>
      <c r="K159" s="424"/>
      <c r="L159" s="424"/>
    </row>
    <row r="160" spans="1:12" ht="17.25" hidden="1" customHeight="1">
      <c r="A160" s="431"/>
      <c r="B160" s="429">
        <f>SUM(C160:I160)</f>
        <v>416</v>
      </c>
      <c r="C160" s="429">
        <f>IF(C10="nur Mehrbedarf",C159,C149-C155-C158)</f>
        <v>416</v>
      </c>
      <c r="D160" s="429">
        <f t="shared" ref="D160:I160" si="26">IF(D10="nur Mehrbedarf",D159,D149-D155-D158)</f>
        <v>0</v>
      </c>
      <c r="E160" s="429">
        <f t="shared" si="26"/>
        <v>0</v>
      </c>
      <c r="F160" s="429">
        <f t="shared" si="26"/>
        <v>0</v>
      </c>
      <c r="G160" s="429">
        <f t="shared" si="26"/>
        <v>0</v>
      </c>
      <c r="H160" s="429">
        <f t="shared" si="26"/>
        <v>0</v>
      </c>
      <c r="I160" s="429">
        <f t="shared" si="26"/>
        <v>0</v>
      </c>
    </row>
    <row r="161" spans="1:9" ht="24" customHeight="1" thickTop="1" thickBot="1">
      <c r="A161" s="332" t="s">
        <v>27</v>
      </c>
      <c r="B161" s="427">
        <f>SUM(C161:I161)</f>
        <v>416</v>
      </c>
      <c r="C161" s="427">
        <f t="shared" ref="C161:I161" si="27">IF(C10="nein",0,IF(C160&lt;0,0,C160))</f>
        <v>416</v>
      </c>
      <c r="D161" s="427">
        <f t="shared" si="27"/>
        <v>0</v>
      </c>
      <c r="E161" s="427">
        <f t="shared" si="27"/>
        <v>0</v>
      </c>
      <c r="F161" s="427">
        <f t="shared" si="27"/>
        <v>0</v>
      </c>
      <c r="G161" s="427">
        <f t="shared" si="27"/>
        <v>0</v>
      </c>
      <c r="H161" s="427">
        <f t="shared" si="27"/>
        <v>0</v>
      </c>
      <c r="I161" s="428">
        <f t="shared" si="27"/>
        <v>0</v>
      </c>
    </row>
    <row r="162" spans="1:9" ht="15.75" customHeight="1">
      <c r="A162" s="647"/>
    </row>
    <row r="163" spans="1:9" ht="14.25" hidden="1" customHeight="1"/>
    <row r="164" spans="1:9" ht="20.25">
      <c r="A164" s="335"/>
      <c r="B164" s="330"/>
      <c r="C164" s="331"/>
      <c r="D164" s="331"/>
      <c r="E164" s="331"/>
      <c r="F164" s="331"/>
      <c r="G164" s="331"/>
      <c r="H164" s="331"/>
      <c r="I164" s="331"/>
    </row>
    <row r="165" spans="1:9" ht="21" customHeight="1" thickBot="1">
      <c r="A165" s="336"/>
      <c r="B165" s="337"/>
      <c r="C165" s="337"/>
      <c r="D165" s="337"/>
      <c r="E165" s="337"/>
      <c r="F165" s="337"/>
      <c r="G165" s="337"/>
      <c r="H165" s="337"/>
      <c r="I165" s="337"/>
    </row>
    <row r="166" spans="1:9" ht="21" customHeight="1">
      <c r="A166" s="444" t="s">
        <v>130</v>
      </c>
      <c r="B166" s="236"/>
      <c r="C166" s="445"/>
      <c r="D166" s="445"/>
      <c r="E166" s="445"/>
      <c r="F166" s="445"/>
      <c r="G166" s="445"/>
      <c r="H166" s="445"/>
      <c r="I166" s="446"/>
    </row>
    <row r="167" spans="1:9" ht="18.75" customHeight="1">
      <c r="A167" s="224"/>
      <c r="B167" s="341" t="s">
        <v>1</v>
      </c>
      <c r="C167" s="341" t="str">
        <f>Zusatzeingaben!C4</f>
        <v>Antragsteller</v>
      </c>
      <c r="D167" s="341" t="str">
        <f>Zusatzeingaben!D4</f>
        <v>Partner(in)</v>
      </c>
      <c r="E167" s="341" t="str">
        <f>Zusatzeingaben!E4</f>
        <v>Kind 1</v>
      </c>
      <c r="F167" s="341" t="str">
        <f>Zusatzeingaben!F4</f>
        <v>Kind 2</v>
      </c>
      <c r="G167" s="341" t="str">
        <f>Zusatzeingaben!G4</f>
        <v>Kind 3</v>
      </c>
      <c r="H167" s="341" t="str">
        <f>Zusatzeingaben!H4</f>
        <v>Kind 4</v>
      </c>
      <c r="I167" s="342" t="str">
        <f>Zusatzeingaben!I4</f>
        <v>Kind 5</v>
      </c>
    </row>
    <row r="168" spans="1:9" ht="18.75" hidden="1" customHeight="1">
      <c r="A168" s="224"/>
      <c r="B168" s="447"/>
      <c r="C168" s="448">
        <f t="shared" ref="C168:I168" si="28">IF(C10="ja",C11+C13+C14+C15+C16+C17+C18+C19,0)</f>
        <v>416</v>
      </c>
      <c r="D168" s="448">
        <f t="shared" si="28"/>
        <v>0</v>
      </c>
      <c r="E168" s="448">
        <f t="shared" si="28"/>
        <v>0</v>
      </c>
      <c r="F168" s="448">
        <f t="shared" si="28"/>
        <v>0</v>
      </c>
      <c r="G168" s="448">
        <f t="shared" si="28"/>
        <v>0</v>
      </c>
      <c r="H168" s="448">
        <f t="shared" si="28"/>
        <v>0</v>
      </c>
      <c r="I168" s="449">
        <f t="shared" si="28"/>
        <v>0</v>
      </c>
    </row>
    <row r="169" spans="1:9" ht="18.75" customHeight="1">
      <c r="A169" s="224" t="s">
        <v>131</v>
      </c>
      <c r="B169" s="284">
        <f>SUM(C169:I169)</f>
        <v>416</v>
      </c>
      <c r="C169" s="295">
        <f t="shared" ref="C169:I169" si="29">IF(C10="ja",C11+C13+C14+C15+C16+C17+C18+C19+C49,IF(C10="nur Mehrbedarf",C161,0))</f>
        <v>416</v>
      </c>
      <c r="D169" s="295">
        <f t="shared" si="29"/>
        <v>0</v>
      </c>
      <c r="E169" s="295">
        <f t="shared" si="29"/>
        <v>0</v>
      </c>
      <c r="F169" s="295">
        <f t="shared" si="29"/>
        <v>0</v>
      </c>
      <c r="G169" s="295">
        <f t="shared" si="29"/>
        <v>0</v>
      </c>
      <c r="H169" s="295">
        <f t="shared" si="29"/>
        <v>0</v>
      </c>
      <c r="I169" s="296">
        <f t="shared" si="29"/>
        <v>0</v>
      </c>
    </row>
    <row r="170" spans="1:9" ht="18.75" customHeight="1">
      <c r="A170" s="450" t="s">
        <v>132</v>
      </c>
      <c r="B170" s="284">
        <f>SUM(C170:I170)</f>
        <v>0</v>
      </c>
      <c r="C170" s="295">
        <f t="shared" ref="C170:I170" si="30">C158</f>
        <v>0</v>
      </c>
      <c r="D170" s="295">
        <f t="shared" si="30"/>
        <v>0</v>
      </c>
      <c r="E170" s="295">
        <f t="shared" si="30"/>
        <v>0</v>
      </c>
      <c r="F170" s="295">
        <f t="shared" si="30"/>
        <v>0</v>
      </c>
      <c r="G170" s="295">
        <f t="shared" si="30"/>
        <v>0</v>
      </c>
      <c r="H170" s="295">
        <f t="shared" si="30"/>
        <v>0</v>
      </c>
      <c r="I170" s="296">
        <f t="shared" si="30"/>
        <v>0</v>
      </c>
    </row>
    <row r="171" spans="1:9" ht="19.5" customHeight="1" thickBot="1">
      <c r="A171" s="451" t="s">
        <v>133</v>
      </c>
      <c r="B171" s="285">
        <f>SUM(C171:I171)</f>
        <v>0</v>
      </c>
      <c r="C171" s="312">
        <f>IF(C169=0,0,C148)</f>
        <v>0</v>
      </c>
      <c r="D171" s="312">
        <f>IF(D169=0,0,D148)</f>
        <v>0</v>
      </c>
      <c r="E171" s="312">
        <f>IF(E169=0,0,E128+E148)</f>
        <v>0</v>
      </c>
      <c r="F171" s="312">
        <f>IF(F169=0,0,F128+F148)</f>
        <v>0</v>
      </c>
      <c r="G171" s="312">
        <f>IF(G169=0,0,G128+G148)</f>
        <v>0</v>
      </c>
      <c r="H171" s="312">
        <f>IF(H169=0,0,H128+H148)</f>
        <v>0</v>
      </c>
      <c r="I171" s="313">
        <f>IF(I169=0,0,I128+I148)</f>
        <v>0</v>
      </c>
    </row>
    <row r="172" spans="1:9" ht="21" hidden="1" customHeight="1">
      <c r="A172" s="243"/>
      <c r="B172" s="137"/>
      <c r="C172" s="452">
        <f t="shared" ref="C172:I172" si="31">IF(C168=0,0,C148)</f>
        <v>0</v>
      </c>
      <c r="D172" s="452">
        <f t="shared" si="31"/>
        <v>0</v>
      </c>
      <c r="E172" s="452">
        <f t="shared" si="31"/>
        <v>0</v>
      </c>
      <c r="F172" s="452">
        <f t="shared" si="31"/>
        <v>0</v>
      </c>
      <c r="G172" s="452">
        <f t="shared" si="31"/>
        <v>0</v>
      </c>
      <c r="H172" s="452">
        <f t="shared" si="31"/>
        <v>0</v>
      </c>
      <c r="I172" s="453">
        <f t="shared" si="31"/>
        <v>0</v>
      </c>
    </row>
    <row r="173" spans="1:9" ht="21" hidden="1" customHeight="1">
      <c r="A173" s="243"/>
      <c r="B173" s="137"/>
      <c r="C173" s="137">
        <f>C169-C170-C171</f>
        <v>416</v>
      </c>
      <c r="D173" s="137">
        <f t="shared" ref="D173:I173" si="32">D169-D170-D171</f>
        <v>0</v>
      </c>
      <c r="E173" s="137">
        <f t="shared" si="32"/>
        <v>0</v>
      </c>
      <c r="F173" s="137">
        <f t="shared" si="32"/>
        <v>0</v>
      </c>
      <c r="G173" s="137">
        <f t="shared" si="32"/>
        <v>0</v>
      </c>
      <c r="H173" s="137">
        <f t="shared" si="32"/>
        <v>0</v>
      </c>
      <c r="I173" s="175">
        <f t="shared" si="32"/>
        <v>0</v>
      </c>
    </row>
    <row r="174" spans="1:9" ht="21" hidden="1" customHeight="1">
      <c r="A174" s="243"/>
      <c r="B174" s="137"/>
      <c r="C174" s="454">
        <f>C168-C172</f>
        <v>416</v>
      </c>
      <c r="D174" s="454">
        <f t="shared" ref="D174:I174" si="33">D168-D171</f>
        <v>0</v>
      </c>
      <c r="E174" s="454">
        <f t="shared" si="33"/>
        <v>0</v>
      </c>
      <c r="F174" s="454">
        <f t="shared" si="33"/>
        <v>0</v>
      </c>
      <c r="G174" s="454">
        <f t="shared" si="33"/>
        <v>0</v>
      </c>
      <c r="H174" s="454">
        <f t="shared" si="33"/>
        <v>0</v>
      </c>
      <c r="I174" s="455">
        <f t="shared" si="33"/>
        <v>0</v>
      </c>
    </row>
    <row r="175" spans="1:9" ht="21" customHeight="1" thickTop="1" thickBot="1">
      <c r="A175" s="456" t="s">
        <v>134</v>
      </c>
      <c r="B175" s="457">
        <f>SUM(C175:I175)</f>
        <v>416</v>
      </c>
      <c r="C175" s="457">
        <f t="shared" ref="C175:I176" si="34">IF(C173&lt;0,0,C173)</f>
        <v>416</v>
      </c>
      <c r="D175" s="457">
        <f t="shared" si="34"/>
        <v>0</v>
      </c>
      <c r="E175" s="457">
        <f t="shared" si="34"/>
        <v>0</v>
      </c>
      <c r="F175" s="457">
        <f t="shared" si="34"/>
        <v>0</v>
      </c>
      <c r="G175" s="457">
        <f t="shared" si="34"/>
        <v>0</v>
      </c>
      <c r="H175" s="457">
        <f t="shared" si="34"/>
        <v>0</v>
      </c>
      <c r="I175" s="458">
        <f t="shared" si="34"/>
        <v>0</v>
      </c>
    </row>
    <row r="176" spans="1:9" ht="21" hidden="1" customHeight="1">
      <c r="A176" s="459"/>
      <c r="B176" s="337"/>
      <c r="C176" s="460">
        <f t="shared" si="34"/>
        <v>416</v>
      </c>
      <c r="D176" s="460">
        <f t="shared" si="34"/>
        <v>0</v>
      </c>
      <c r="E176" s="460">
        <f t="shared" si="34"/>
        <v>0</v>
      </c>
      <c r="F176" s="460">
        <f t="shared" si="34"/>
        <v>0</v>
      </c>
      <c r="G176" s="460">
        <f t="shared" si="34"/>
        <v>0</v>
      </c>
      <c r="H176" s="460">
        <f t="shared" si="34"/>
        <v>0</v>
      </c>
      <c r="I176" s="461">
        <f t="shared" si="34"/>
        <v>0</v>
      </c>
    </row>
    <row r="177" spans="1:9" ht="21" customHeight="1" thickBot="1">
      <c r="A177" s="462" t="s">
        <v>154</v>
      </c>
      <c r="B177" s="463"/>
      <c r="C177" s="464">
        <f t="shared" ref="C177:I178" si="35">IF(C173&lt;0,C173,0)*-1</f>
        <v>0</v>
      </c>
      <c r="D177" s="464">
        <f t="shared" si="35"/>
        <v>0</v>
      </c>
      <c r="E177" s="464">
        <f t="shared" si="35"/>
        <v>0</v>
      </c>
      <c r="F177" s="464">
        <f t="shared" si="35"/>
        <v>0</v>
      </c>
      <c r="G177" s="464">
        <f t="shared" si="35"/>
        <v>0</v>
      </c>
      <c r="H177" s="464">
        <f t="shared" si="35"/>
        <v>0</v>
      </c>
      <c r="I177" s="465">
        <f t="shared" si="35"/>
        <v>0</v>
      </c>
    </row>
    <row r="178" spans="1:9" ht="21" hidden="1" customHeight="1">
      <c r="A178" s="243"/>
      <c r="B178" s="320"/>
      <c r="C178" s="466">
        <f t="shared" si="35"/>
        <v>0</v>
      </c>
      <c r="D178" s="466">
        <f t="shared" si="35"/>
        <v>0</v>
      </c>
      <c r="E178" s="466">
        <f t="shared" si="35"/>
        <v>0</v>
      </c>
      <c r="F178" s="466">
        <f t="shared" si="35"/>
        <v>0</v>
      </c>
      <c r="G178" s="466">
        <f t="shared" si="35"/>
        <v>0</v>
      </c>
      <c r="H178" s="466">
        <f t="shared" si="35"/>
        <v>0</v>
      </c>
      <c r="I178" s="467">
        <f t="shared" si="35"/>
        <v>0</v>
      </c>
    </row>
    <row r="179" spans="1:9" ht="21" customHeight="1">
      <c r="A179" s="468" t="s">
        <v>135</v>
      </c>
      <c r="B179" s="297">
        <f>SUM(C179:I179)</f>
        <v>0</v>
      </c>
      <c r="C179" s="469">
        <f t="shared" ref="C179:I179" si="36">IF(C10="ja",C47,0)</f>
        <v>0</v>
      </c>
      <c r="D179" s="469">
        <f t="shared" si="36"/>
        <v>0</v>
      </c>
      <c r="E179" s="469">
        <f t="shared" si="36"/>
        <v>0</v>
      </c>
      <c r="F179" s="469">
        <f t="shared" si="36"/>
        <v>0</v>
      </c>
      <c r="G179" s="469">
        <f t="shared" si="36"/>
        <v>0</v>
      </c>
      <c r="H179" s="469">
        <f t="shared" si="36"/>
        <v>0</v>
      </c>
      <c r="I179" s="470">
        <f t="shared" si="36"/>
        <v>0</v>
      </c>
    </row>
    <row r="180" spans="1:9" ht="21" customHeight="1" thickBot="1">
      <c r="A180" s="451" t="s">
        <v>136</v>
      </c>
      <c r="B180" s="471">
        <f>SUM(C180:I180)</f>
        <v>0</v>
      </c>
      <c r="C180" s="312">
        <f t="shared" ref="C180:I180" si="37">IF(C179&lt;C177,C179,C177)</f>
        <v>0</v>
      </c>
      <c r="D180" s="312">
        <f t="shared" si="37"/>
        <v>0</v>
      </c>
      <c r="E180" s="312">
        <f t="shared" si="37"/>
        <v>0</v>
      </c>
      <c r="F180" s="312">
        <f t="shared" si="37"/>
        <v>0</v>
      </c>
      <c r="G180" s="312">
        <f t="shared" si="37"/>
        <v>0</v>
      </c>
      <c r="H180" s="312">
        <f t="shared" si="37"/>
        <v>0</v>
      </c>
      <c r="I180" s="313">
        <f t="shared" si="37"/>
        <v>0</v>
      </c>
    </row>
    <row r="181" spans="1:9" ht="21" hidden="1" customHeight="1">
      <c r="A181" s="262"/>
      <c r="B181" s="320"/>
      <c r="C181" s="472">
        <f>IF(C179&lt;C178,C179,C178)</f>
        <v>0</v>
      </c>
      <c r="D181" s="472">
        <f t="shared" ref="D181:I181" si="38">IF(D179&lt;D178,D179,D178)</f>
        <v>0</v>
      </c>
      <c r="E181" s="472">
        <f t="shared" si="38"/>
        <v>0</v>
      </c>
      <c r="F181" s="472">
        <f t="shared" si="38"/>
        <v>0</v>
      </c>
      <c r="G181" s="472">
        <f t="shared" si="38"/>
        <v>0</v>
      </c>
      <c r="H181" s="472">
        <f t="shared" si="38"/>
        <v>0</v>
      </c>
      <c r="I181" s="473">
        <f t="shared" si="38"/>
        <v>0</v>
      </c>
    </row>
    <row r="182" spans="1:9" ht="21" hidden="1" customHeight="1">
      <c r="A182" s="262"/>
      <c r="B182" s="320"/>
      <c r="C182" s="474">
        <f>C179-C181</f>
        <v>0</v>
      </c>
      <c r="D182" s="474">
        <f t="shared" ref="D182:I182" si="39">D179-D181</f>
        <v>0</v>
      </c>
      <c r="E182" s="474">
        <f t="shared" si="39"/>
        <v>0</v>
      </c>
      <c r="F182" s="474">
        <f t="shared" si="39"/>
        <v>0</v>
      </c>
      <c r="G182" s="474">
        <f t="shared" si="39"/>
        <v>0</v>
      </c>
      <c r="H182" s="474">
        <f t="shared" si="39"/>
        <v>0</v>
      </c>
      <c r="I182" s="475">
        <f t="shared" si="39"/>
        <v>0</v>
      </c>
    </row>
    <row r="183" spans="1:9" ht="21" customHeight="1" thickTop="1" thickBot="1">
      <c r="A183" s="476" t="s">
        <v>137</v>
      </c>
      <c r="B183" s="477">
        <f>SUM(C183:I183)</f>
        <v>0</v>
      </c>
      <c r="C183" s="478">
        <f>IF(C180&lt;0,C179,C179-C180)</f>
        <v>0</v>
      </c>
      <c r="D183" s="478">
        <f t="shared" ref="D183:I183" si="40">IF(D180&lt;0,D179,D179-D180)</f>
        <v>0</v>
      </c>
      <c r="E183" s="478">
        <f t="shared" si="40"/>
        <v>0</v>
      </c>
      <c r="F183" s="478">
        <f t="shared" si="40"/>
        <v>0</v>
      </c>
      <c r="G183" s="478">
        <f t="shared" si="40"/>
        <v>0</v>
      </c>
      <c r="H183" s="478">
        <f t="shared" si="40"/>
        <v>0</v>
      </c>
      <c r="I183" s="479">
        <f t="shared" si="40"/>
        <v>0</v>
      </c>
    </row>
    <row r="184" spans="1:9" ht="18" customHeight="1">
      <c r="A184" s="336"/>
      <c r="B184" s="337"/>
      <c r="C184" s="337"/>
      <c r="D184" s="337"/>
      <c r="E184" s="337"/>
      <c r="F184" s="337"/>
      <c r="G184" s="337"/>
      <c r="H184" s="337"/>
      <c r="I184" s="337"/>
    </row>
    <row r="186" spans="1:9" ht="18.75" customHeight="1"/>
    <row r="187" spans="1:9">
      <c r="A187" s="608" t="s">
        <v>114</v>
      </c>
      <c r="B187" s="609"/>
      <c r="C187" s="327"/>
      <c r="D187" s="327"/>
      <c r="F187" s="216"/>
      <c r="G187" s="217"/>
      <c r="H187" s="217"/>
      <c r="I187" s="217"/>
    </row>
    <row r="188" spans="1:9">
      <c r="A188" s="327" t="s">
        <v>45</v>
      </c>
      <c r="B188" s="612">
        <f>IF(AND(C$58=0,C$54&lt;=100),0,IF(AND(C$58=0,C$54&lt;=1000),C$54-100,IF(AND(C$58=0,C$54&gt;1000),1000-100,IF(AND(C$58&gt;0,C$54+C$58&lt;=100),0,IF(AND(C$58&gt;0,C$58+C$54&lt;=1000),C$58+C$54-100,IF(AND(C$58&gt;0,C$58+C$54&gt;1000),1000-100))))))</f>
        <v>0</v>
      </c>
      <c r="C188" s="327" t="s">
        <v>28</v>
      </c>
      <c r="D188" s="137">
        <f>B188*20/100</f>
        <v>0</v>
      </c>
      <c r="F188" s="217"/>
      <c r="G188" s="217"/>
      <c r="H188" s="217"/>
      <c r="I188" s="215"/>
    </row>
    <row r="189" spans="1:9">
      <c r="A189" s="327" t="s">
        <v>159</v>
      </c>
      <c r="B189" s="137">
        <f>IF(C$54+C$58&lt;1000.01,0,IF(AND(C$54+C$58&gt;1000,C$54+C$58&lt;=1200),C$54+C$58-1000,IF(AND(C$54+C$58&gt;1200,C8="ja",C$54+C$58&lt;=1500),C$54+C$58-1000,IF(AND(C$54+C$58&gt;1200,C8="nein",C$54+C$58&lt;=1500),1200-1000,IF(AND(C$54+C$58&gt;=1500,C8="ja"),1500-1000,IF(AND(C$54+C$58&gt;1500,C8="nein"),1200-1000))))))</f>
        <v>0</v>
      </c>
      <c r="C189" s="327" t="s">
        <v>29</v>
      </c>
      <c r="D189" s="137">
        <f>B189*10/100</f>
        <v>0</v>
      </c>
      <c r="F189" s="217"/>
      <c r="G189" s="217"/>
      <c r="H189" s="217"/>
      <c r="I189" s="215"/>
    </row>
    <row r="190" spans="1:9">
      <c r="A190" s="610" t="s">
        <v>30</v>
      </c>
      <c r="B190" s="327"/>
      <c r="C190" s="327"/>
      <c r="D190" s="611">
        <f>SUM(D188:D189)</f>
        <v>0</v>
      </c>
      <c r="F190" s="217"/>
      <c r="G190" s="217"/>
      <c r="H190" s="217"/>
      <c r="I190" s="215"/>
    </row>
    <row r="191" spans="1:9">
      <c r="A191" s="327"/>
      <c r="B191" s="327"/>
      <c r="C191" s="327"/>
      <c r="D191" s="327"/>
      <c r="F191" s="217"/>
      <c r="G191" s="217"/>
      <c r="H191" s="217"/>
      <c r="I191" s="215"/>
    </row>
    <row r="192" spans="1:9">
      <c r="A192" s="608" t="s">
        <v>113</v>
      </c>
      <c r="B192" s="609"/>
      <c r="C192" s="327"/>
      <c r="D192" s="327"/>
      <c r="F192" s="217"/>
      <c r="G192" s="217"/>
      <c r="H192" s="217"/>
      <c r="I192" s="217"/>
    </row>
    <row r="193" spans="1:9">
      <c r="A193" s="327" t="s">
        <v>45</v>
      </c>
      <c r="B193" s="137">
        <f>IF(AND(D$58=0,D$54&lt;=100),0,IF(AND(D$58=0,D$54&lt;=1000),D$54-100,IF(AND(D$58=0,D$54&gt;1000),1000-100,IF(AND(D$58&gt;0,D$54+D$58&lt;=100),0,IF(AND(D$58&gt;0,D$58+D$54&lt;=1000),D$58+D$54-100,IF(AND(D$58&gt;0,D$58+D$54&gt;1000),1000-100))))))</f>
        <v>0</v>
      </c>
      <c r="C193" s="327" t="s">
        <v>28</v>
      </c>
      <c r="D193" s="137">
        <f>B193*20/100</f>
        <v>0</v>
      </c>
      <c r="F193" s="217"/>
      <c r="G193" s="217"/>
      <c r="H193" s="217"/>
      <c r="I193" s="215"/>
    </row>
    <row r="194" spans="1:9">
      <c r="A194" s="327" t="s">
        <v>159</v>
      </c>
      <c r="B194" s="137">
        <f>IF(D$54+D$58&lt;1000.01,0,IF(AND(D$54+D$58&gt;1000,D$54+D$58&lt;=1200),D$54+D$58-1000,IF(AND(D$54+D$58&gt;1200,D$8="ja",D$54+D$58&lt;=1500),D$54+D$58-1000,IF(AND(D$54+D$58&gt;1200,D$8="nein",D$54+D$58&lt;=1500),1200-1000,IF(AND(D$54+D$58&gt;=1500,D$8="ja"),1500-1000,IF(AND(D$54+D$58&gt;1500,D$8="nein"),1200-1000))))))</f>
        <v>0</v>
      </c>
      <c r="C194" s="327" t="s">
        <v>29</v>
      </c>
      <c r="D194" s="137">
        <f>B194*10/100</f>
        <v>0</v>
      </c>
      <c r="F194" s="217"/>
      <c r="G194" s="217"/>
      <c r="H194" s="217"/>
      <c r="I194" s="215"/>
    </row>
    <row r="195" spans="1:9">
      <c r="A195" s="610" t="s">
        <v>30</v>
      </c>
      <c r="B195" s="327"/>
      <c r="C195" s="327"/>
      <c r="D195" s="611">
        <f>SUM(D193:D194)</f>
        <v>0</v>
      </c>
      <c r="F195" s="217"/>
      <c r="G195" s="217"/>
      <c r="H195" s="217"/>
      <c r="I195" s="215"/>
    </row>
    <row r="196" spans="1:9">
      <c r="A196" s="327"/>
      <c r="B196" s="327"/>
      <c r="C196" s="327"/>
      <c r="D196" s="327"/>
      <c r="F196" s="217"/>
      <c r="G196" s="217"/>
      <c r="H196" s="217"/>
      <c r="I196" s="215"/>
    </row>
    <row r="197" spans="1:9">
      <c r="A197" s="608" t="s">
        <v>112</v>
      </c>
      <c r="B197" s="609"/>
      <c r="C197" s="327"/>
      <c r="D197" s="327"/>
      <c r="F197" s="217"/>
      <c r="G197" s="217"/>
      <c r="H197" s="217"/>
      <c r="I197" s="215"/>
    </row>
    <row r="198" spans="1:9">
      <c r="A198" s="327" t="s">
        <v>45</v>
      </c>
      <c r="B198" s="137">
        <f>IF(AND(E$58=0,E$54&lt;=100),0,IF(AND(E$58=0,E$54&lt;=1000),E$54-100,IF(AND(E$58=0,E$54&gt;1000),1000-100,IF(AND(E$58&gt;0,E$54+E$58&lt;=100),0,IF(AND(E$58&gt;0,E$58+E$54&lt;=1000),E$58+E$54-100,IF(AND(E$58&gt;0,E$58+E$54&gt;1000),1000-100))))))</f>
        <v>0</v>
      </c>
      <c r="C198" s="327" t="s">
        <v>28</v>
      </c>
      <c r="D198" s="137">
        <f>B198*20/100</f>
        <v>0</v>
      </c>
    </row>
    <row r="199" spans="1:9">
      <c r="A199" s="327" t="s">
        <v>159</v>
      </c>
      <c r="B199" s="137">
        <f>IF(E$54+E$58&lt;1000.01,0,IF(AND(E$54+E$58&gt;1000,E$54+E$58&lt;=1200),E$54+E$58-1000,IF(E$54+E$58&gt;1200,1200-1000,)))</f>
        <v>0</v>
      </c>
      <c r="C199" s="327" t="s">
        <v>29</v>
      </c>
      <c r="D199" s="137">
        <f>B199*10/100</f>
        <v>0</v>
      </c>
    </row>
    <row r="200" spans="1:9">
      <c r="A200" s="610" t="s">
        <v>30</v>
      </c>
      <c r="B200" s="327"/>
      <c r="C200" s="327"/>
      <c r="D200" s="611">
        <f>SUM(D198:D199)</f>
        <v>0</v>
      </c>
    </row>
    <row r="201" spans="1:9">
      <c r="A201" s="327"/>
      <c r="B201" s="327"/>
      <c r="C201" s="327"/>
      <c r="D201" s="327"/>
    </row>
    <row r="202" spans="1:9">
      <c r="A202" s="608" t="s">
        <v>111</v>
      </c>
      <c r="B202" s="609"/>
      <c r="C202" s="327"/>
      <c r="D202" s="327"/>
    </row>
    <row r="203" spans="1:9">
      <c r="A203" s="327" t="s">
        <v>45</v>
      </c>
      <c r="B203" s="137">
        <f>IF(AND(F$58=0,F$54&lt;=100),0,IF(AND(F$58=0,F$54&lt;=1000),F$54-100,IF(AND(F$58=0,F$54&gt;1000),1000-100,IF(AND(F$58&gt;0,F$54+F$58&lt;=100),0,IF(AND(F$58&gt;0,F$58+F$54&lt;=1000),F$58+F$54-100,IF(AND(F$58&gt;0,F$58+F$54&gt;1000),1000-100))))))</f>
        <v>0</v>
      </c>
      <c r="C203" s="327" t="s">
        <v>28</v>
      </c>
      <c r="D203" s="137">
        <f>B203*20/100</f>
        <v>0</v>
      </c>
    </row>
    <row r="204" spans="1:9">
      <c r="A204" s="327" t="s">
        <v>159</v>
      </c>
      <c r="B204" s="137">
        <f>IF(F$54+F$58&lt;1000.01,0,IF(AND(F$54+F$58&gt;1000,F$54+F$58&lt;=1200),F$54+F$58-1000,IF(F$54+F$58&gt;1200,1200-1000,)))</f>
        <v>0</v>
      </c>
      <c r="C204" s="327" t="s">
        <v>29</v>
      </c>
      <c r="D204" s="137">
        <f>B204*10/100</f>
        <v>0</v>
      </c>
    </row>
    <row r="205" spans="1:9">
      <c r="A205" s="610" t="s">
        <v>30</v>
      </c>
      <c r="B205" s="327"/>
      <c r="C205" s="327"/>
      <c r="D205" s="611">
        <f>SUM(D203:D204)</f>
        <v>0</v>
      </c>
    </row>
    <row r="206" spans="1:9">
      <c r="A206" s="327"/>
      <c r="B206" s="327"/>
      <c r="C206" s="327"/>
      <c r="D206" s="327"/>
    </row>
    <row r="207" spans="1:9">
      <c r="A207" s="608" t="s">
        <v>110</v>
      </c>
      <c r="B207" s="609"/>
      <c r="C207" s="327"/>
      <c r="D207" s="327"/>
    </row>
    <row r="208" spans="1:9">
      <c r="A208" s="327" t="s">
        <v>45</v>
      </c>
      <c r="B208" s="137">
        <f>IF(AND(G$58=0,G$54&lt;=100),0,IF(AND(G$58=0,G$54&lt;=1000),G$54-100,IF(AND(G$58=0,G$54&gt;1000),1000-100,IF(AND(G$58&gt;0,G$54+G$58&lt;=100),0,IF(AND(G$58&gt;0,G$58+G$54&lt;=1000),G$58+G$54-100,IF(AND(G$58&gt;0,G$58+G$54&gt;1000),1000-100))))))</f>
        <v>0</v>
      </c>
      <c r="C208" s="327" t="s">
        <v>28</v>
      </c>
      <c r="D208" s="137">
        <f>B208*20/100</f>
        <v>0</v>
      </c>
    </row>
    <row r="209" spans="1:4">
      <c r="A209" s="327" t="s">
        <v>159</v>
      </c>
      <c r="B209" s="137">
        <f>IF(G$54+G$58&lt;1000.01,0,IF(AND(G$54+G$58&gt;1000,G$54+G$58&lt;=1200),G$54+G$58-1000,IF(G$54+G$58&gt;1200,1200-1000,)))</f>
        <v>0</v>
      </c>
      <c r="C209" s="327" t="s">
        <v>29</v>
      </c>
      <c r="D209" s="137">
        <f>B209*10/100</f>
        <v>0</v>
      </c>
    </row>
    <row r="210" spans="1:4">
      <c r="A210" s="610" t="s">
        <v>30</v>
      </c>
      <c r="B210" s="327"/>
      <c r="C210" s="327"/>
      <c r="D210" s="611">
        <f>SUM(D208:D209)</f>
        <v>0</v>
      </c>
    </row>
    <row r="211" spans="1:4">
      <c r="A211" s="327"/>
      <c r="B211" s="327"/>
      <c r="C211" s="327"/>
      <c r="D211" s="327"/>
    </row>
    <row r="212" spans="1:4">
      <c r="A212" s="608" t="s">
        <v>108</v>
      </c>
      <c r="B212" s="609"/>
      <c r="C212" s="327"/>
      <c r="D212" s="327"/>
    </row>
    <row r="213" spans="1:4">
      <c r="A213" s="327" t="s">
        <v>45</v>
      </c>
      <c r="B213" s="137">
        <f>IF(AND(H$58=0,H$54&lt;=100),0,IF(AND(H$58=0,H$54&lt;=1000),H$54-100,IF(AND(H$58=0,H$54&gt;1000),1000-100,IF(AND(H$58&gt;0,H$54+H$58&lt;=100),0,IF(AND(H$58&gt;0,H$58+H$54&lt;=1000),H$58+H$54-100,IF(AND(H$58&gt;0,H$58+H$54&gt;1000),1000-100))))))</f>
        <v>0</v>
      </c>
      <c r="C213" s="327" t="s">
        <v>28</v>
      </c>
      <c r="D213" s="137">
        <f>B213*20/100</f>
        <v>0</v>
      </c>
    </row>
    <row r="214" spans="1:4">
      <c r="A214" s="327" t="s">
        <v>159</v>
      </c>
      <c r="B214" s="137">
        <f>IF(H$54+H$58&lt;1000.01,0,IF(AND(H$54+H$58&gt;1000,H$54+H$58&lt;=1200),H$54+H$58-1000,IF(H$54+H$58&gt;1200,1200-1000,)))</f>
        <v>0</v>
      </c>
      <c r="C214" s="327" t="s">
        <v>29</v>
      </c>
      <c r="D214" s="137">
        <f>B214*10/100</f>
        <v>0</v>
      </c>
    </row>
    <row r="215" spans="1:4">
      <c r="A215" s="610" t="s">
        <v>30</v>
      </c>
      <c r="B215" s="327"/>
      <c r="C215" s="327"/>
      <c r="D215" s="611">
        <f>SUM(D213:D214)</f>
        <v>0</v>
      </c>
    </row>
    <row r="216" spans="1:4">
      <c r="A216" s="327"/>
      <c r="B216" s="327"/>
      <c r="C216" s="327"/>
      <c r="D216" s="327"/>
    </row>
    <row r="217" spans="1:4">
      <c r="A217" s="608" t="s">
        <v>109</v>
      </c>
      <c r="B217" s="609"/>
      <c r="C217" s="327"/>
      <c r="D217" s="327"/>
    </row>
    <row r="218" spans="1:4">
      <c r="A218" s="327" t="s">
        <v>45</v>
      </c>
      <c r="B218" s="137">
        <f>IF(AND(I$58=0,I$54&lt;=100),0,IF(AND(I$58=0,I$54&lt;=1000),I$54-100,IF(AND(I$58=0,I$54&gt;1000),1000-100,IF(AND(I$58&gt;0,I$54+I$58&lt;=100),0,IF(AND(I$58&gt;0,I$58+I$54&lt;=1000),I$58+I$54-100,IF(AND(I$58&gt;0,I$58+I$54&gt;1000),1000-100))))))</f>
        <v>0</v>
      </c>
      <c r="C218" s="327" t="s">
        <v>28</v>
      </c>
      <c r="D218" s="137">
        <f>B218*20/100</f>
        <v>0</v>
      </c>
    </row>
    <row r="219" spans="1:4">
      <c r="A219" s="327" t="s">
        <v>159</v>
      </c>
      <c r="B219" s="137">
        <f>IF(I$54+I$58&lt;1000.01,0,IF(AND(I$54+I$58&gt;1000,I$54+I$58&lt;=1200),I$54+I$58-1000,IF(I$54+I$58&gt;1200,1200-1000,)))</f>
        <v>0</v>
      </c>
      <c r="C219" s="327" t="s">
        <v>29</v>
      </c>
      <c r="D219" s="137">
        <f>B219*10/100</f>
        <v>0</v>
      </c>
    </row>
    <row r="220" spans="1:4">
      <c r="A220" s="610" t="s">
        <v>30</v>
      </c>
      <c r="B220" s="327"/>
      <c r="C220" s="327"/>
      <c r="D220" s="611">
        <f>SUM(D218:D219)</f>
        <v>0</v>
      </c>
    </row>
    <row r="221" spans="1:4">
      <c r="A221" s="217"/>
      <c r="B221" s="219"/>
      <c r="C221" s="217"/>
      <c r="D221" s="217"/>
    </row>
    <row r="222" spans="1:4">
      <c r="A222" s="217"/>
      <c r="B222" s="215"/>
      <c r="C222" s="217"/>
      <c r="D222" s="215"/>
    </row>
    <row r="223" spans="1:4">
      <c r="A223" s="217"/>
      <c r="B223" s="215"/>
      <c r="C223" s="217"/>
      <c r="D223" s="215"/>
    </row>
    <row r="224" spans="1:4">
      <c r="A224" s="220"/>
      <c r="B224" s="217"/>
      <c r="C224" s="217"/>
      <c r="D224" s="215"/>
    </row>
    <row r="225" spans="1:4">
      <c r="A225" s="217"/>
      <c r="B225" s="217"/>
      <c r="C225" s="217"/>
      <c r="D225" s="217"/>
    </row>
    <row r="226" spans="1:4">
      <c r="A226" s="218"/>
      <c r="B226" s="216"/>
      <c r="C226" s="217"/>
      <c r="D226" s="217"/>
    </row>
    <row r="227" spans="1:4">
      <c r="A227" s="217"/>
      <c r="B227" s="215"/>
      <c r="C227" s="217"/>
      <c r="D227" s="215"/>
    </row>
    <row r="228" spans="1:4">
      <c r="A228" s="217"/>
      <c r="B228" s="215"/>
      <c r="C228" s="217"/>
      <c r="D228" s="215"/>
    </row>
    <row r="229" spans="1:4">
      <c r="A229" s="220"/>
      <c r="B229" s="217"/>
      <c r="C229" s="217"/>
      <c r="D229" s="215"/>
    </row>
    <row r="230" spans="1:4">
      <c r="A230" s="217"/>
      <c r="B230" s="217"/>
      <c r="C230" s="217"/>
      <c r="D230" s="217"/>
    </row>
    <row r="231" spans="1:4">
      <c r="A231" s="218"/>
      <c r="B231" s="216"/>
      <c r="C231" s="217"/>
      <c r="D231" s="217"/>
    </row>
    <row r="232" spans="1:4">
      <c r="A232" s="217"/>
      <c r="B232" s="215"/>
      <c r="C232" s="217"/>
      <c r="D232" s="215"/>
    </row>
    <row r="233" spans="1:4">
      <c r="A233" s="217"/>
      <c r="B233" s="215"/>
      <c r="C233" s="217"/>
      <c r="D233" s="215"/>
    </row>
    <row r="234" spans="1:4">
      <c r="A234" s="220"/>
      <c r="B234" s="217"/>
      <c r="C234" s="217"/>
      <c r="D234" s="215"/>
    </row>
    <row r="235" spans="1:4">
      <c r="A235" s="217"/>
      <c r="B235" s="217"/>
      <c r="C235" s="217"/>
      <c r="D235" s="217"/>
    </row>
    <row r="236" spans="1:4">
      <c r="A236" s="218"/>
      <c r="B236" s="216"/>
      <c r="C236" s="217"/>
      <c r="D236" s="217"/>
    </row>
    <row r="237" spans="1:4">
      <c r="A237" s="217"/>
      <c r="B237" s="215"/>
      <c r="C237" s="217"/>
      <c r="D237" s="215"/>
    </row>
    <row r="238" spans="1:4">
      <c r="A238" s="217"/>
      <c r="B238" s="215"/>
      <c r="C238" s="217"/>
      <c r="D238" s="215"/>
    </row>
    <row r="239" spans="1:4">
      <c r="A239" s="220"/>
      <c r="B239" s="217"/>
      <c r="C239" s="217"/>
      <c r="D239" s="215"/>
    </row>
  </sheetData>
  <sheetProtection sheet="1" objects="1" scenarios="1"/>
  <mergeCells count="1">
    <mergeCell ref="B3:C3"/>
  </mergeCells>
  <conditionalFormatting sqref="C132 D132:D133 D141:D146 C137:C146 E131:I133 D127:I128 A49 C7:I7 C13:I13 B3:C3 C49:I49 C21:I46 C14:C19 C179:I180 C177:I177 C170:I171 D15:I19 C10:I11 C118:I120 C83:I83 C112:I112 C114:I115 C95:I99 C101:I110 C74:I81 C90:I93 C85:I88 C54:I71 D138:I138 C148:I148">
    <cfRule type="cellIs" dxfId="19" priority="12" stopIfTrue="1" operator="equal">
      <formula>0</formula>
    </cfRule>
  </conditionalFormatting>
  <conditionalFormatting sqref="B21:B47 B145:B148 E149:I151 C47:I47 B50:C50 B13:B19 B49 B177:B182 B170:B172 B54:B120">
    <cfRule type="cellIs" dxfId="18" priority="13" stopIfTrue="1" operator="equal">
      <formula>0</formula>
    </cfRule>
  </conditionalFormatting>
  <conditionalFormatting sqref="B165:I165 B175:I175 B183:I184">
    <cfRule type="cellIs" dxfId="17" priority="14" stopIfTrue="1" operator="equal">
      <formula>0</formula>
    </cfRule>
  </conditionalFormatting>
  <conditionalFormatting sqref="A150">
    <cfRule type="cellIs" dxfId="16" priority="15" stopIfTrue="1" operator="equal">
      <formula>"Mehrbedarf nach § 27 (2) SGB II"</formula>
    </cfRule>
  </conditionalFormatting>
  <conditionalFormatting sqref="C150:D151">
    <cfRule type="cellIs" dxfId="15" priority="16" stopIfTrue="1" operator="notEqual">
      <formula>0</formula>
    </cfRule>
  </conditionalFormatting>
  <conditionalFormatting sqref="C161">
    <cfRule type="expression" dxfId="14" priority="17" stopIfTrue="1">
      <formula>$C$150&gt;0</formula>
    </cfRule>
  </conditionalFormatting>
  <conditionalFormatting sqref="A151">
    <cfRule type="cellIs" dxfId="13" priority="18" stopIfTrue="1" operator="equal">
      <formula>"./. Überschuss"</formula>
    </cfRule>
  </conditionalFormatting>
  <conditionalFormatting sqref="D161">
    <cfRule type="expression" dxfId="12" priority="19" stopIfTrue="1">
      <formula>$D$150&gt;0</formula>
    </cfRule>
  </conditionalFormatting>
  <conditionalFormatting sqref="C116:D116">
    <cfRule type="cellIs" dxfId="11" priority="11" stopIfTrue="1" operator="equal">
      <formula>0</formula>
    </cfRule>
  </conditionalFormatting>
  <conditionalFormatting sqref="E116:I116">
    <cfRule type="cellIs" dxfId="10" priority="10" stopIfTrue="1" operator="equal">
      <formula>0</formula>
    </cfRule>
  </conditionalFormatting>
  <conditionalFormatting sqref="C82:I82">
    <cfRule type="cellIs" dxfId="9" priority="9" stopIfTrue="1" operator="equal">
      <formula>0</formula>
    </cfRule>
  </conditionalFormatting>
  <conditionalFormatting sqref="C111:I111">
    <cfRule type="cellIs" dxfId="8" priority="8" stopIfTrue="1" operator="equal">
      <formula>0</formula>
    </cfRule>
  </conditionalFormatting>
  <conditionalFormatting sqref="C113:I113">
    <cfRule type="cellIs" dxfId="7" priority="7" stopIfTrue="1" operator="equal">
      <formula>0</formula>
    </cfRule>
  </conditionalFormatting>
  <conditionalFormatting sqref="C154:I157">
    <cfRule type="cellIs" dxfId="6" priority="5" stopIfTrue="1" operator="equal">
      <formula>0</formula>
    </cfRule>
  </conditionalFormatting>
  <conditionalFormatting sqref="B153:B158">
    <cfRule type="cellIs" dxfId="5" priority="6" stopIfTrue="1" operator="equal">
      <formula>0</formula>
    </cfRule>
  </conditionalFormatting>
  <conditionalFormatting sqref="C117:I117">
    <cfRule type="cellIs" dxfId="4" priority="4" stopIfTrue="1" operator="equal">
      <formula>0</formula>
    </cfRule>
  </conditionalFormatting>
  <conditionalFormatting sqref="C147">
    <cfRule type="cellIs" dxfId="3" priority="3" stopIfTrue="1" operator="equal">
      <formula>0</formula>
    </cfRule>
  </conditionalFormatting>
  <conditionalFormatting sqref="D147">
    <cfRule type="cellIs" dxfId="2" priority="2" stopIfTrue="1" operator="equal">
      <formula>0</formula>
    </cfRule>
  </conditionalFormatting>
  <conditionalFormatting sqref="E147:I147">
    <cfRule type="cellIs" dxfId="1" priority="1" stopIfTrue="1" operator="equal">
      <formula>0</formula>
    </cfRule>
  </conditionalFormatting>
  <pageMargins left="0.7" right="0.7" top="0.78740157499999996" bottom="0.78740157499999996" header="0.3" footer="0.3"/>
  <pageSetup paperSize="9" orientation="portrait" horizontalDpi="4294967293" verticalDpi="4294967293" r:id="rId1"/>
</worksheet>
</file>

<file path=xl/worksheets/sheet18.xml><?xml version="1.0" encoding="utf-8"?>
<worksheet xmlns="http://schemas.openxmlformats.org/spreadsheetml/2006/main" xmlns:r="http://schemas.openxmlformats.org/officeDocument/2006/relationships">
  <dimension ref="A1:AE310"/>
  <sheetViews>
    <sheetView showGridLines="0" showZeros="0" topLeftCell="A4" zoomScale="110" zoomScaleNormal="110" workbookViewId="0">
      <selection activeCell="D7" sqref="D7"/>
    </sheetView>
  </sheetViews>
  <sheetFormatPr baseColWidth="10" defaultRowHeight="12.75"/>
  <cols>
    <col min="1" max="1" width="47.85546875" customWidth="1"/>
    <col min="2" max="2" width="14.140625" customWidth="1"/>
    <col min="3" max="4" width="13.28515625" customWidth="1"/>
    <col min="5" max="5" width="13.140625" customWidth="1"/>
    <col min="6" max="6" width="13.28515625" customWidth="1"/>
    <col min="7" max="7" width="12.5703125" customWidth="1"/>
    <col min="8" max="8" width="12.42578125" customWidth="1"/>
    <col min="9" max="9" width="12.85546875" customWidth="1"/>
  </cols>
  <sheetData>
    <row r="1" spans="1:12" s="2" customFormat="1" ht="23.25">
      <c r="A1" s="66"/>
      <c r="B1" s="67" t="s">
        <v>59</v>
      </c>
      <c r="C1" s="68"/>
      <c r="D1" s="69"/>
      <c r="E1" s="68"/>
      <c r="F1" s="68"/>
      <c r="G1" s="70"/>
      <c r="H1" s="70"/>
      <c r="I1" s="71"/>
      <c r="J1" s="5"/>
      <c r="K1" s="1"/>
      <c r="L1" s="1"/>
    </row>
    <row r="2" spans="1:12" s="2" customFormat="1" ht="21.75" customHeight="1" thickBot="1">
      <c r="A2" s="72" t="s">
        <v>4</v>
      </c>
      <c r="B2" s="2176"/>
      <c r="C2" s="2177"/>
      <c r="D2" s="73" t="s">
        <v>33</v>
      </c>
      <c r="E2" s="607">
        <f>Zusatzeingaben!E2</f>
        <v>43344</v>
      </c>
      <c r="F2" s="340">
        <f>EOMONTH(E2,0)</f>
        <v>43373</v>
      </c>
      <c r="G2" s="371">
        <f>DAY(F2)</f>
        <v>30</v>
      </c>
      <c r="H2" s="372">
        <f>IF(G2&lt;&gt;30,30,30)</f>
        <v>30</v>
      </c>
      <c r="I2" s="373" t="str">
        <f>TEXT(E2,"MMMM")</f>
        <v>September</v>
      </c>
      <c r="J2" s="261"/>
      <c r="K2" s="1"/>
      <c r="L2" s="1"/>
    </row>
    <row r="3" spans="1:12" s="2" customFormat="1" ht="20.25">
      <c r="A3" s="74"/>
      <c r="B3" s="75" t="s">
        <v>0</v>
      </c>
      <c r="C3" s="76"/>
      <c r="D3" s="76"/>
      <c r="E3" s="76"/>
      <c r="F3" s="76"/>
      <c r="G3" s="76"/>
      <c r="H3" s="76"/>
      <c r="I3" s="77"/>
      <c r="J3" s="402">
        <f>DATE(YEAR(E2),MONTH(E2)*1-300,)</f>
        <v>34212</v>
      </c>
      <c r="K3" s="403">
        <f>J3+1</f>
        <v>34213</v>
      </c>
      <c r="L3" s="364"/>
    </row>
    <row r="4" spans="1:12" s="2" customFormat="1" ht="18.75">
      <c r="A4" s="78" t="s">
        <v>64</v>
      </c>
      <c r="B4" s="350" t="s">
        <v>30</v>
      </c>
      <c r="C4" s="349" t="s">
        <v>5</v>
      </c>
      <c r="D4" s="349" t="s">
        <v>6</v>
      </c>
      <c r="E4" s="349" t="s">
        <v>7</v>
      </c>
      <c r="F4" s="350" t="s">
        <v>8</v>
      </c>
      <c r="G4" s="350" t="s">
        <v>9</v>
      </c>
      <c r="H4" s="350" t="s">
        <v>10</v>
      </c>
      <c r="I4" s="351" t="s">
        <v>34</v>
      </c>
    </row>
    <row r="5" spans="1:12" s="2" customFormat="1" ht="18.75" customHeight="1">
      <c r="A5" s="97" t="s">
        <v>116</v>
      </c>
      <c r="B5" s="576">
        <f>Zusatzeingaben!B5</f>
        <v>0</v>
      </c>
      <c r="C5" s="356">
        <f>B6+B5</f>
        <v>1</v>
      </c>
      <c r="D5" s="147"/>
      <c r="E5" s="147"/>
      <c r="F5" s="147"/>
      <c r="G5" s="147"/>
      <c r="H5" s="147"/>
      <c r="I5" s="148"/>
    </row>
    <row r="6" spans="1:12" s="2" customFormat="1" ht="20.100000000000001" customHeight="1">
      <c r="A6" s="79" t="s">
        <v>58</v>
      </c>
      <c r="B6" s="357">
        <f>COUNTIF(C33:I33,"&gt;0")</f>
        <v>1</v>
      </c>
      <c r="C6" s="787"/>
      <c r="D6" s="788"/>
      <c r="E6" s="788"/>
      <c r="F6" s="788"/>
      <c r="G6" s="788"/>
      <c r="H6" s="788"/>
      <c r="I6" s="789"/>
    </row>
    <row r="7" spans="1:12" s="2" customFormat="1" ht="20.100000000000001" customHeight="1">
      <c r="A7" s="81" t="s">
        <v>158</v>
      </c>
      <c r="B7" s="583">
        <f>COUNTIF(E16:I16,"&lt;18")</f>
        <v>0</v>
      </c>
      <c r="C7" s="151" t="str">
        <f>Zusatzeingaben!E7</f>
        <v>nein</v>
      </c>
      <c r="D7" s="151" t="str">
        <f>Zusatzeingaben!E7</f>
        <v>nein</v>
      </c>
      <c r="E7" s="582" t="str">
        <f>IF(AND($C7="Nein",$B$7&lt;1),"nein","ja")</f>
        <v>nein</v>
      </c>
      <c r="F7" s="582" t="str">
        <f t="shared" ref="F7:I7" si="0">IF(AND($C7="Nein",$B$7&lt;1),"nein","ja")</f>
        <v>nein</v>
      </c>
      <c r="G7" s="582" t="str">
        <f t="shared" si="0"/>
        <v>nein</v>
      </c>
      <c r="H7" s="582" t="str">
        <f t="shared" si="0"/>
        <v>nein</v>
      </c>
      <c r="I7" s="582" t="str">
        <f t="shared" si="0"/>
        <v>nein</v>
      </c>
    </row>
    <row r="8" spans="1:12" s="2" customFormat="1" ht="20.100000000000001" customHeight="1">
      <c r="A8" s="650" t="s">
        <v>68</v>
      </c>
      <c r="B8" s="32"/>
      <c r="C8" s="143">
        <f>Zusatzeingaben!C8</f>
        <v>0</v>
      </c>
      <c r="D8" s="143">
        <f>Zusatzeingaben!D8</f>
        <v>0</v>
      </c>
      <c r="E8" s="143">
        <f>Zusatzeingaben!E8</f>
        <v>0</v>
      </c>
      <c r="F8" s="143">
        <f>Zusatzeingaben!F8</f>
        <v>0</v>
      </c>
      <c r="G8" s="143">
        <f>Zusatzeingaben!G8</f>
        <v>0</v>
      </c>
      <c r="H8" s="143">
        <f>Zusatzeingaben!H8</f>
        <v>0</v>
      </c>
      <c r="I8" s="143">
        <f>Zusatzeingaben!I8</f>
        <v>0</v>
      </c>
      <c r="J8" s="267"/>
      <c r="K8" s="404">
        <f>IF(E8&gt;E2,E14,0)</f>
        <v>0</v>
      </c>
    </row>
    <row r="9" spans="1:12" s="2" customFormat="1" ht="20.100000000000001" hidden="1" customHeight="1">
      <c r="A9" s="156"/>
      <c r="B9" s="32"/>
      <c r="C9" s="30">
        <f t="shared" ref="C9:I9" si="1">DAY(C8)</f>
        <v>0</v>
      </c>
      <c r="D9" s="30">
        <f t="shared" si="1"/>
        <v>0</v>
      </c>
      <c r="E9" s="30">
        <f t="shared" si="1"/>
        <v>0</v>
      </c>
      <c r="F9" s="30">
        <f t="shared" si="1"/>
        <v>0</v>
      </c>
      <c r="G9" s="30">
        <f t="shared" si="1"/>
        <v>0</v>
      </c>
      <c r="H9" s="30">
        <f t="shared" si="1"/>
        <v>0</v>
      </c>
      <c r="I9" s="155">
        <f t="shared" si="1"/>
        <v>0</v>
      </c>
    </row>
    <row r="10" spans="1:12" s="2" customFormat="1" ht="20.100000000000001" hidden="1" customHeight="1">
      <c r="A10" s="156"/>
      <c r="B10" s="32"/>
      <c r="C10" s="30">
        <f t="shared" ref="C10:I10" si="2">C9-1</f>
        <v>-1</v>
      </c>
      <c r="D10" s="30">
        <f t="shared" si="2"/>
        <v>-1</v>
      </c>
      <c r="E10" s="30">
        <f t="shared" si="2"/>
        <v>-1</v>
      </c>
      <c r="F10" s="30">
        <f t="shared" si="2"/>
        <v>-1</v>
      </c>
      <c r="G10" s="30">
        <f t="shared" si="2"/>
        <v>-1</v>
      </c>
      <c r="H10" s="30">
        <f t="shared" si="2"/>
        <v>-1</v>
      </c>
      <c r="I10" s="155">
        <f t="shared" si="2"/>
        <v>-1</v>
      </c>
    </row>
    <row r="11" spans="1:12" s="2" customFormat="1" ht="20.100000000000001" hidden="1" customHeight="1">
      <c r="A11" s="156"/>
      <c r="B11" s="32"/>
      <c r="C11" s="30">
        <f>IF(OR(C9=31,C9=28*(AND(I2="februar")),C9=29*(AND(I2="februar"))),29,C10)</f>
        <v>29</v>
      </c>
      <c r="D11" s="30">
        <f>IF(OR(D9=31,D9=28*(AND(I2="februar")),D9=29*(AND(I2="februar"))),29,D10)</f>
        <v>29</v>
      </c>
      <c r="E11" s="30">
        <f>IF(OR(E9=31,E9=28*(AND(I2="februar")),E9=29*(AND(I2="februar"))),29,E10)</f>
        <v>29</v>
      </c>
      <c r="F11" s="30">
        <f>IF(OR(F9=31,F9=28*(AND(I2="februar")),F9=29*(AND(I2="februar"))),29,F10)</f>
        <v>29</v>
      </c>
      <c r="G11" s="30">
        <f>IF(OR(G9=31,G9=28*(AND(I2="februar")),G9=29*(AND(I2="februar"))),29,G10)</f>
        <v>29</v>
      </c>
      <c r="H11" s="30">
        <f>IF(OR(H9=31,H9=28*(AND(I2="februar")),H9=29*(AND(I2="februar"))),29,H10)</f>
        <v>29</v>
      </c>
      <c r="I11" s="155">
        <f>IF(OR(I9=31,I9=28*(AND(I2="februar")),I9=29*(AND(I2="februar"))),29,I10)</f>
        <v>29</v>
      </c>
    </row>
    <row r="12" spans="1:12" s="2" customFormat="1" ht="20.100000000000001" hidden="1" customHeight="1">
      <c r="A12" s="156"/>
      <c r="B12" s="32"/>
      <c r="C12" s="30">
        <f>H2-C10</f>
        <v>31</v>
      </c>
      <c r="D12" s="30">
        <f>H2-D10</f>
        <v>31</v>
      </c>
      <c r="E12" s="30">
        <f>H2-E10</f>
        <v>31</v>
      </c>
      <c r="F12" s="30">
        <f>H2-F10</f>
        <v>31</v>
      </c>
      <c r="G12" s="30">
        <f>H2-G10</f>
        <v>31</v>
      </c>
      <c r="H12" s="30">
        <f>H2-H10</f>
        <v>31</v>
      </c>
      <c r="I12" s="155">
        <f>H2-I10</f>
        <v>31</v>
      </c>
    </row>
    <row r="13" spans="1:12" s="2" customFormat="1" ht="20.100000000000001" hidden="1" customHeight="1">
      <c r="A13" s="156"/>
      <c r="B13" s="32"/>
      <c r="C13" s="30">
        <f t="shared" ref="C13:I13" si="3">IF(C12=0,1,IF(C11=29,1,C12))</f>
        <v>1</v>
      </c>
      <c r="D13" s="30">
        <f t="shared" si="3"/>
        <v>1</v>
      </c>
      <c r="E13" s="30">
        <f t="shared" si="3"/>
        <v>1</v>
      </c>
      <c r="F13" s="30">
        <f t="shared" si="3"/>
        <v>1</v>
      </c>
      <c r="G13" s="30">
        <f t="shared" si="3"/>
        <v>1</v>
      </c>
      <c r="H13" s="30">
        <f t="shared" si="3"/>
        <v>1</v>
      </c>
      <c r="I13" s="155">
        <f t="shared" si="3"/>
        <v>1</v>
      </c>
    </row>
    <row r="14" spans="1:12" s="2" customFormat="1" ht="20.100000000000001" hidden="1" customHeight="1">
      <c r="A14" s="156"/>
      <c r="B14" s="32"/>
      <c r="C14" s="30"/>
      <c r="D14" s="30"/>
      <c r="E14" s="30">
        <f>IF(E8&gt;E2,G2-E10,E13)</f>
        <v>1</v>
      </c>
      <c r="F14" s="30">
        <f>IF(F8&gt;E2,G2-F10,F13)</f>
        <v>1</v>
      </c>
      <c r="G14" s="30">
        <f>IF(G8&gt;E2,G2-G10,G13)</f>
        <v>1</v>
      </c>
      <c r="H14" s="30">
        <f>IF(H8&gt;E2,G2-H10,H13)</f>
        <v>1</v>
      </c>
      <c r="I14" s="155">
        <f>IF(I8&gt;E2,G2-I10,I13)</f>
        <v>1</v>
      </c>
    </row>
    <row r="15" spans="1:12" s="5" customFormat="1" ht="16.5" hidden="1" customHeight="1">
      <c r="A15" s="168"/>
      <c r="B15" s="32"/>
      <c r="C15" s="159">
        <f>DATEDIF(C$8,E2,"y")</f>
        <v>118</v>
      </c>
      <c r="D15" s="159">
        <f>DATEDIF(D$8,E2,"y")</f>
        <v>118</v>
      </c>
      <c r="E15" s="159">
        <f>DATEDIF(E$8,E2,"y")</f>
        <v>118</v>
      </c>
      <c r="F15" s="159">
        <f>DATEDIF(F$8,E2,"y")</f>
        <v>118</v>
      </c>
      <c r="G15" s="159">
        <f>DATEDIF(G$8,E2,"y")</f>
        <v>118</v>
      </c>
      <c r="H15" s="159">
        <f>DATEDIF(H$8,E2,"y")</f>
        <v>118</v>
      </c>
      <c r="I15" s="160">
        <f>DATEDIF(I$8,E2,"y")</f>
        <v>118</v>
      </c>
    </row>
    <row r="16" spans="1:12" s="167" customFormat="1" ht="16.5" hidden="1" customHeight="1">
      <c r="A16" s="163"/>
      <c r="B16" s="164"/>
      <c r="C16" s="165"/>
      <c r="D16" s="165"/>
      <c r="E16" s="165">
        <f>IF(E8&gt;E2,0,E15)</f>
        <v>118</v>
      </c>
      <c r="F16" s="165">
        <f>IF(F8&gt;E2,0,F15)</f>
        <v>118</v>
      </c>
      <c r="G16" s="165">
        <f>IF(G8&gt;E2,0,G15)</f>
        <v>118</v>
      </c>
      <c r="H16" s="165">
        <f>IF(H8&gt;E2,0,H15)</f>
        <v>118</v>
      </c>
      <c r="I16" s="166">
        <f>IF(I8&gt;E2,0,I15)</f>
        <v>118</v>
      </c>
    </row>
    <row r="17" spans="1:11" s="5" customFormat="1" ht="16.5" hidden="1" customHeight="1">
      <c r="A17" s="168"/>
      <c r="B17" s="32"/>
      <c r="C17" s="159">
        <f>IF(C15=0,DATEDIF(C$8,E2,"d"),0)</f>
        <v>0</v>
      </c>
      <c r="D17" s="159">
        <f>IF(D15=0,DATEDIF(D$8,E2,"d"),0)</f>
        <v>0</v>
      </c>
      <c r="E17" s="159">
        <f>IF(E16=0,DATEDIF(E$8,E2,"d"),0)</f>
        <v>0</v>
      </c>
      <c r="F17" s="159">
        <f>IF(F15=0,DATEDIF(F$8,E2,"d"),0)</f>
        <v>0</v>
      </c>
      <c r="G17" s="159">
        <f>IF(G15=0,DATEDIF(G$8,E2,"d"),0)</f>
        <v>0</v>
      </c>
      <c r="H17" s="159">
        <f>IF(H15=0,DATEDIF(H$8,E2,"d"),0)</f>
        <v>0</v>
      </c>
      <c r="I17" s="160">
        <f>IF(I15=0,DATEDIF(I$8,E2,"d"),0)</f>
        <v>0</v>
      </c>
    </row>
    <row r="18" spans="1:11" s="167" customFormat="1" ht="16.5" hidden="1" customHeight="1">
      <c r="A18" s="163"/>
      <c r="B18" s="164"/>
      <c r="C18" s="165">
        <f>DATEDIF(C$8,F2,"y")</f>
        <v>118</v>
      </c>
      <c r="D18" s="165">
        <f>DATEDIF(D$8,F2,"y")</f>
        <v>118</v>
      </c>
      <c r="E18" s="165">
        <f>DATEDIF(E$8,F2,"y")</f>
        <v>118</v>
      </c>
      <c r="F18" s="165">
        <f>DATEDIF(F$8,F2,"y")</f>
        <v>118</v>
      </c>
      <c r="G18" s="165">
        <f>DATEDIF(G$8,F2,"y")</f>
        <v>118</v>
      </c>
      <c r="H18" s="165">
        <f>DATEDIF(H$8,F2,"y")</f>
        <v>118</v>
      </c>
      <c r="I18" s="166">
        <f>DATEDIF(I$8,F2,"y")</f>
        <v>118</v>
      </c>
      <c r="K18" s="405">
        <f>COUNTIF(E18:I18,"=25")</f>
        <v>0</v>
      </c>
    </row>
    <row r="19" spans="1:11" s="2" customFormat="1" ht="16.5" hidden="1" customHeight="1">
      <c r="A19" s="156"/>
      <c r="B19" s="32"/>
      <c r="C19" s="159">
        <f>IF(C8=DATE(1900,1,0),0,C15)</f>
        <v>0</v>
      </c>
      <c r="D19" s="159">
        <f t="shared" ref="D19:I19" si="4">IF(D8=DATE(1900,1,0),0,D15)</f>
        <v>0</v>
      </c>
      <c r="E19" s="159">
        <f>IF(E8=DATE(1900,1,0),0,E16)</f>
        <v>0</v>
      </c>
      <c r="F19" s="159">
        <f t="shared" si="4"/>
        <v>0</v>
      </c>
      <c r="G19" s="159">
        <f t="shared" si="4"/>
        <v>0</v>
      </c>
      <c r="H19" s="159">
        <f t="shared" si="4"/>
        <v>0</v>
      </c>
      <c r="I19" s="160">
        <f t="shared" si="4"/>
        <v>0</v>
      </c>
    </row>
    <row r="20" spans="1:11" s="2" customFormat="1" ht="16.5" hidden="1" customHeight="1">
      <c r="A20" s="156"/>
      <c r="B20" s="32"/>
      <c r="C20" s="159">
        <f t="shared" ref="C20:I20" si="5">IF(C8=DATE(1900,1,0),0,C17)</f>
        <v>0</v>
      </c>
      <c r="D20" s="159">
        <f t="shared" si="5"/>
        <v>0</v>
      </c>
      <c r="E20" s="159">
        <f t="shared" si="5"/>
        <v>0</v>
      </c>
      <c r="F20" s="159">
        <f t="shared" si="5"/>
        <v>0</v>
      </c>
      <c r="G20" s="159">
        <f t="shared" si="5"/>
        <v>0</v>
      </c>
      <c r="H20" s="159">
        <f t="shared" si="5"/>
        <v>0</v>
      </c>
      <c r="I20" s="160">
        <f t="shared" si="5"/>
        <v>0</v>
      </c>
    </row>
    <row r="21" spans="1:11" s="2" customFormat="1" ht="16.5" hidden="1" customHeight="1">
      <c r="A21" s="156"/>
      <c r="B21" s="157"/>
      <c r="C21" s="30">
        <f>IF(C19=0,0,C19)</f>
        <v>0</v>
      </c>
      <c r="D21" s="30">
        <f>IF(D19=0,0,D19)</f>
        <v>0</v>
      </c>
      <c r="E21" s="30">
        <f>IF(E19+E20=0,0,IF(E19&gt;E20,E19,1))</f>
        <v>0</v>
      </c>
      <c r="F21" s="30">
        <f>IF(F19+F20=0,0,IF(F19&gt;F20,F19,1))</f>
        <v>0</v>
      </c>
      <c r="G21" s="30">
        <f>IF(G19+G20=0,0,IF(G19&gt;G20,G19,1))</f>
        <v>0</v>
      </c>
      <c r="H21" s="30">
        <f>IF(H19+H20=0,0,IF(H19&gt;H20,H19,1))</f>
        <v>0</v>
      </c>
      <c r="I21" s="155">
        <f>IF(I19+I20=0,0,IF(I19&gt;I20,I19,1))</f>
        <v>0</v>
      </c>
    </row>
    <row r="22" spans="1:11" s="2" customFormat="1" ht="16.5" hidden="1" customHeight="1">
      <c r="A22" s="158"/>
      <c r="B22" s="157"/>
      <c r="C22" s="30">
        <f>IF(C21=0,0,C21)</f>
        <v>0</v>
      </c>
      <c r="D22" s="30">
        <f t="shared" ref="D22:I22" si="6">IF(D21=0,0,D21)</f>
        <v>0</v>
      </c>
      <c r="E22" s="30">
        <f t="shared" si="6"/>
        <v>0</v>
      </c>
      <c r="F22" s="30">
        <f t="shared" si="6"/>
        <v>0</v>
      </c>
      <c r="G22" s="30">
        <f t="shared" si="6"/>
        <v>0</v>
      </c>
      <c r="H22" s="30">
        <f t="shared" si="6"/>
        <v>0</v>
      </c>
      <c r="I22" s="155">
        <f t="shared" si="6"/>
        <v>0</v>
      </c>
    </row>
    <row r="23" spans="1:11" s="2" customFormat="1" ht="16.5" hidden="1">
      <c r="A23" s="156"/>
      <c r="B23" s="157"/>
      <c r="C23" s="24">
        <f>IF(AND(C21&gt;0,C21&lt;18),F227,IF(AND(C21&gt;17,D21&gt;17),D227,IF(AND(C21&gt;17,D21=17),C227,IF(AND(C21&gt;17,D21=16),C227,IF(AND(C21&gt;17,D21=15),C227,C227)))))</f>
        <v>409</v>
      </c>
      <c r="D23" s="24">
        <f>IF(AND(D21&gt;17,C21&lt;18),C227,IF(D21&gt;17,D227,IF(D21=17,F227,IF(D21=16,F227,IF(D21=15,F227,0)))))</f>
        <v>0</v>
      </c>
      <c r="E23" s="24">
        <f>IF(E21&lt;1,0,IF(E21&lt;6,H227,IF(E21&lt;14,G227,IF(E21&lt;18,F227,E227))))</f>
        <v>0</v>
      </c>
      <c r="F23" s="24">
        <f>IF(F21&lt;1,0,IF(F21&lt;6,H227,IF(F21&lt;14,G227,IF(F21&lt;18,F227,E227))))</f>
        <v>0</v>
      </c>
      <c r="G23" s="24">
        <f>IF(G21&lt;1,0,IF(G21&lt;6,H227,IF(G21&lt;14,G227,IF(G21&lt;18,F227,E227))))</f>
        <v>0</v>
      </c>
      <c r="H23" s="24">
        <f>IF(H21&lt;1,0,IF(H21&lt;6,H227,IF(H21&lt;14,G227,IF(H21&lt;18,F227,E227))))</f>
        <v>0</v>
      </c>
      <c r="I23" s="53">
        <f>IF(I21&lt;1,0,IF(I21&lt;6,H227,IF(I21&lt;14,G227,IF(I21&lt;18,F227,E227))))</f>
        <v>0</v>
      </c>
    </row>
    <row r="24" spans="1:11" s="2" customFormat="1" ht="16.5" hidden="1">
      <c r="A24" s="156"/>
      <c r="B24" s="157"/>
      <c r="C24" s="24">
        <f>IF(C18&lt;18,F227,IF(AND(C18&gt;17,D18&gt;17,D18&lt;116),D227,IF(AND(C18&gt;17,D18=17),C227,IF(AND(C18&gt;17,D18=16),C227,IF(AND(C18&gt;17,D18=15),C227,C227)))))</f>
        <v>409</v>
      </c>
      <c r="D24" s="24">
        <f>IF(AND(D18&gt;17,C18&lt;18),C227,IF(D18&gt;17,D227,IF(D18=17,F227,IF(D18=16,F227,IF(D18=15,F227,0)))))</f>
        <v>368</v>
      </c>
      <c r="E24" s="24">
        <f>IF(E18&lt;1,0,IF(E18&lt;6,H227,IF(E18&lt;14,G227,IF(E18&lt;18,F227,E227))))</f>
        <v>327</v>
      </c>
      <c r="F24" s="24">
        <f>IF(F18&lt;1,0,IF(F18&lt;6,H227,IF(F18&lt;14,G227,IF(F18&lt;18,F227,E227))))</f>
        <v>327</v>
      </c>
      <c r="G24" s="24">
        <f>IF(G18&lt;1,0,IF(G18&lt;6,H227,IF(G18&lt;14,G227,IF(G18&lt;18,F227,E227))))</f>
        <v>327</v>
      </c>
      <c r="H24" s="24">
        <f>IF(H18&lt;1,0,IF(H18&lt;6,H227,IF(H18&lt;14,G227,IF(H18&lt;18,F227,E227))))</f>
        <v>327</v>
      </c>
      <c r="I24" s="53">
        <f>IF(I18&lt;1,0,IF(I18&lt;6,H227,IF(I18&lt;14,G227,IF(I18&lt;18,F227,E227))))</f>
        <v>327</v>
      </c>
    </row>
    <row r="25" spans="1:11" s="2" customFormat="1" ht="16.5" hidden="1">
      <c r="A25" s="156"/>
      <c r="B25" s="157"/>
      <c r="C25" s="24">
        <f>IF(C24&lt;&gt;C23,C24/H2*C13,C23)</f>
        <v>409</v>
      </c>
      <c r="D25" s="24">
        <f>IF(D24&lt;&gt;D23,D24/H2*D13,D23)</f>
        <v>12.266666666666667</v>
      </c>
      <c r="E25" s="24">
        <f>IF(E24&gt;E23,E24/H2*E14,E23)</f>
        <v>10.9</v>
      </c>
      <c r="F25" s="24">
        <f>IF(F24&gt;F23,F24/H2*F14,F23)</f>
        <v>10.9</v>
      </c>
      <c r="G25" s="24">
        <f>IF(G24&gt;G23,G24/H2*G14,G23)</f>
        <v>10.9</v>
      </c>
      <c r="H25" s="24">
        <f>IF(H24&gt;H23,H24/H2*H14,H23)</f>
        <v>10.9</v>
      </c>
      <c r="I25" s="53">
        <f>IF(I24&gt;I23,I24/H2*I14,I23)</f>
        <v>10.9</v>
      </c>
    </row>
    <row r="26" spans="1:11" s="2" customFormat="1" ht="16.5" hidden="1">
      <c r="A26" s="156"/>
      <c r="B26" s="157"/>
      <c r="C26" s="24">
        <f>IF(C24&lt;&gt;C23,C23/H2*C11,C23)</f>
        <v>409</v>
      </c>
      <c r="D26" s="24">
        <f>IF(D24&lt;&gt;D23,D23/H2*D11,D23)</f>
        <v>0</v>
      </c>
      <c r="E26" s="24">
        <f>IF(E24&gt;E23,E23/H2*E11,E23)</f>
        <v>0</v>
      </c>
      <c r="F26" s="24">
        <f>IF(F24&gt;F23,F23/H2*F11,F23)</f>
        <v>0</v>
      </c>
      <c r="G26" s="24">
        <f>IF(G24&gt;G23,G23/H2*G11,G23)</f>
        <v>0</v>
      </c>
      <c r="H26" s="24">
        <f>IF(H24&gt;H23,H23/H2*H11,H23)</f>
        <v>0</v>
      </c>
      <c r="I26" s="53">
        <f>IF(I24&gt;I23,I23/H2*I11,I23)</f>
        <v>0</v>
      </c>
    </row>
    <row r="27" spans="1:11" s="2" customFormat="1" ht="16.5" hidden="1">
      <c r="A27" s="156"/>
      <c r="B27" s="157"/>
      <c r="C27" s="24">
        <f t="shared" ref="C27:D27" si="7">IF(C26=C25,C23,C25+C26)</f>
        <v>409</v>
      </c>
      <c r="D27" s="24">
        <f t="shared" si="7"/>
        <v>12.266666666666667</v>
      </c>
      <c r="E27" s="24">
        <f t="shared" ref="E27:I27" si="8">IF(E26=E25,E23,E25+E26)</f>
        <v>10.9</v>
      </c>
      <c r="F27" s="24">
        <f t="shared" si="8"/>
        <v>10.9</v>
      </c>
      <c r="G27" s="24">
        <f t="shared" si="8"/>
        <v>10.9</v>
      </c>
      <c r="H27" s="24">
        <f t="shared" si="8"/>
        <v>10.9</v>
      </c>
      <c r="I27" s="53">
        <f t="shared" si="8"/>
        <v>10.9</v>
      </c>
    </row>
    <row r="28" spans="1:11" s="2" customFormat="1" ht="16.5" hidden="1">
      <c r="A28" s="156"/>
      <c r="B28" s="157"/>
      <c r="C28" s="24">
        <f>C27</f>
        <v>409</v>
      </c>
      <c r="D28" s="24">
        <f t="shared" ref="D28" si="9">IF(D23=0,0,D27)</f>
        <v>0</v>
      </c>
      <c r="E28" s="24">
        <f t="shared" ref="E28:I28" si="10">IF(E23=0,0,E27)</f>
        <v>0</v>
      </c>
      <c r="F28" s="24">
        <f t="shared" si="10"/>
        <v>0</v>
      </c>
      <c r="G28" s="24">
        <f t="shared" si="10"/>
        <v>0</v>
      </c>
      <c r="H28" s="24">
        <f t="shared" si="10"/>
        <v>0</v>
      </c>
      <c r="I28" s="53">
        <f t="shared" si="10"/>
        <v>0</v>
      </c>
    </row>
    <row r="29" spans="1:11" s="2" customFormat="1" ht="16.5" hidden="1">
      <c r="A29" s="156"/>
      <c r="B29" s="157"/>
      <c r="C29" s="24">
        <f>IF(C15&lt;15,0,C28)</f>
        <v>409</v>
      </c>
      <c r="D29" s="24"/>
      <c r="E29" s="24">
        <f>IF(E18=25,E28/H2*E10,E28)</f>
        <v>0</v>
      </c>
      <c r="F29" s="24">
        <f>IF(F18=25,F28/H2*F10,F28)</f>
        <v>0</v>
      </c>
      <c r="G29" s="24">
        <f>IF(G18=25,G28/H2*G10,G28)</f>
        <v>0</v>
      </c>
      <c r="H29" s="24">
        <f>IF(H18=25,H28/H2*H10,H28)</f>
        <v>0</v>
      </c>
      <c r="I29" s="53">
        <f>IF(I18=25,I28/H2*I10,I28)</f>
        <v>0</v>
      </c>
    </row>
    <row r="30" spans="1:11" s="2" customFormat="1" ht="16.5" hidden="1">
      <c r="A30" s="156"/>
      <c r="B30" s="157"/>
      <c r="C30" s="24"/>
      <c r="D30" s="24"/>
      <c r="E30" s="24">
        <f>IF(E16&gt;24,0,E29)</f>
        <v>0</v>
      </c>
      <c r="F30" s="24">
        <f>IF(F15&gt;24,0,F29)</f>
        <v>0</v>
      </c>
      <c r="G30" s="24">
        <f>IF(G15&gt;24,0,G29)</f>
        <v>0</v>
      </c>
      <c r="H30" s="24">
        <f>IF(H15&gt;24,0,H29)</f>
        <v>0</v>
      </c>
      <c r="I30" s="53">
        <f>IF(I15&gt;24,0,I29)</f>
        <v>0</v>
      </c>
    </row>
    <row r="31" spans="1:11" s="2" customFormat="1" ht="16.5" hidden="1">
      <c r="A31" s="156"/>
      <c r="B31" s="157"/>
      <c r="C31" s="3"/>
      <c r="D31" s="3"/>
      <c r="E31" s="24">
        <f>ROUND(E30,0)</f>
        <v>0</v>
      </c>
      <c r="F31" s="24">
        <f>ROUND(F30,0)</f>
        <v>0</v>
      </c>
      <c r="G31" s="24">
        <f>ROUND(G30,0)</f>
        <v>0</v>
      </c>
      <c r="H31" s="24">
        <f>ROUND(H30,0)</f>
        <v>0</v>
      </c>
      <c r="I31" s="53">
        <f>ROUND(I30,0)</f>
        <v>0</v>
      </c>
    </row>
    <row r="32" spans="1:11" s="2" customFormat="1" ht="16.5" hidden="1">
      <c r="A32" s="156"/>
      <c r="B32" s="157"/>
      <c r="C32" s="45"/>
      <c r="D32" s="45"/>
      <c r="E32" s="45">
        <f>IF(E8&gt;E2,H227*E14/30,E31)</f>
        <v>0</v>
      </c>
      <c r="F32" s="45">
        <f>IF(F8&gt;E2,H227*F14/30,F31)</f>
        <v>0</v>
      </c>
      <c r="G32" s="45">
        <f>IF(G8&gt;E2,H227*G14/30,G31)</f>
        <v>0</v>
      </c>
      <c r="H32" s="45">
        <f>IF(H8&gt;E2,H227*H14/30,H31)</f>
        <v>0</v>
      </c>
      <c r="I32" s="270">
        <f>IF(I8&gt;E2,H227*I14/30,I31)</f>
        <v>0</v>
      </c>
    </row>
    <row r="33" spans="1:31" s="2" customFormat="1" ht="16.5" hidden="1">
      <c r="A33" s="156"/>
      <c r="B33" s="157"/>
      <c r="C33" s="24">
        <f>ROUND(C29,0)</f>
        <v>409</v>
      </c>
      <c r="D33" s="24">
        <f>ROUND(D28,0)</f>
        <v>0</v>
      </c>
      <c r="E33" s="24">
        <f>ROUND(E32,0)</f>
        <v>0</v>
      </c>
      <c r="F33" s="24">
        <f>ROUND(F32,0)</f>
        <v>0</v>
      </c>
      <c r="G33" s="24">
        <f>ROUND(G32,0)</f>
        <v>0</v>
      </c>
      <c r="H33" s="24">
        <f>ROUND(H32,0)</f>
        <v>0</v>
      </c>
      <c r="I33" s="53">
        <f>ROUND(I32,0)</f>
        <v>0</v>
      </c>
      <c r="J33" s="267"/>
      <c r="K33" s="267"/>
      <c r="L33" s="267"/>
      <c r="M33" s="267"/>
      <c r="N33" s="267"/>
      <c r="O33" s="267"/>
      <c r="P33" s="267"/>
      <c r="Q33" s="267"/>
      <c r="R33" s="267"/>
      <c r="S33" s="361">
        <f>COUNTIF(E33:I33,"&gt;0")</f>
        <v>0</v>
      </c>
    </row>
    <row r="34" spans="1:31" s="2" customFormat="1" ht="16.5">
      <c r="A34" s="156" t="s">
        <v>185</v>
      </c>
      <c r="B34" s="157"/>
      <c r="C34" s="635" t="str">
        <f>Zusatzeingaben!C34</f>
        <v>ja</v>
      </c>
      <c r="D34" s="635" t="str">
        <f>Zusatzeingaben!D34</f>
        <v>ja</v>
      </c>
      <c r="E34" s="635" t="str">
        <f>Zusatzeingaben!E34</f>
        <v>ja</v>
      </c>
      <c r="F34" s="635" t="str">
        <f>Zusatzeingaben!F34</f>
        <v>ja</v>
      </c>
      <c r="G34" s="635" t="str">
        <f>Zusatzeingaben!G34</f>
        <v>ja</v>
      </c>
      <c r="H34" s="635" t="str">
        <f>Zusatzeingaben!H34</f>
        <v>ja</v>
      </c>
      <c r="I34" s="635" t="str">
        <f>Zusatzeingaben!I34</f>
        <v>ja</v>
      </c>
      <c r="J34" s="267"/>
      <c r="K34" s="267"/>
      <c r="L34" s="267"/>
      <c r="M34" s="267"/>
      <c r="N34" s="267"/>
      <c r="O34" s="267"/>
      <c r="P34" s="267"/>
      <c r="Q34" s="267"/>
      <c r="R34" s="267"/>
      <c r="S34" s="361"/>
    </row>
    <row r="35" spans="1:31" s="2" customFormat="1" ht="20.100000000000001" customHeight="1" thickBot="1">
      <c r="A35" s="123" t="s">
        <v>39</v>
      </c>
      <c r="B35" s="34"/>
      <c r="C35" s="635" t="str">
        <f>Zusatzeingaben!C35</f>
        <v>ja</v>
      </c>
      <c r="D35" s="635" t="str">
        <f>Zusatzeingaben!D35</f>
        <v>ja</v>
      </c>
      <c r="E35" s="635" t="str">
        <f>Zusatzeingaben!E35</f>
        <v>ja</v>
      </c>
      <c r="F35" s="635" t="str">
        <f>Zusatzeingaben!F35</f>
        <v>ja</v>
      </c>
      <c r="G35" s="635" t="str">
        <f>Zusatzeingaben!G35</f>
        <v>ja</v>
      </c>
      <c r="H35" s="635" t="str">
        <f>Zusatzeingaben!H35</f>
        <v>ja</v>
      </c>
      <c r="I35" s="635" t="str">
        <f>Zusatzeingaben!I35</f>
        <v>ja</v>
      </c>
      <c r="J35" s="358"/>
    </row>
    <row r="36" spans="1:31" s="2" customFormat="1" ht="29.25" customHeight="1">
      <c r="A36" s="169" t="s">
        <v>102</v>
      </c>
      <c r="B36" s="629" t="s">
        <v>30</v>
      </c>
      <c r="C36" s="170"/>
      <c r="D36" s="170"/>
      <c r="E36" s="170"/>
      <c r="F36" s="170"/>
      <c r="G36" s="170"/>
      <c r="H36" s="170"/>
      <c r="I36" s="171"/>
    </row>
    <row r="37" spans="1:31" s="2" customFormat="1" ht="20.100000000000001" customHeight="1">
      <c r="A37" s="84" t="s">
        <v>97</v>
      </c>
      <c r="B37" s="22"/>
      <c r="C37" s="143">
        <f>Zusatzeingaben!C37</f>
        <v>0</v>
      </c>
      <c r="D37" s="143">
        <f>Zusatzeingaben!D37</f>
        <v>0</v>
      </c>
      <c r="E37" s="143">
        <f>Zusatzeingaben!E37</f>
        <v>0</v>
      </c>
      <c r="F37" s="144"/>
      <c r="G37" s="144"/>
      <c r="H37" s="144"/>
      <c r="I37" s="53"/>
    </row>
    <row r="38" spans="1:31" s="2" customFormat="1" ht="20.100000000000001" hidden="1" customHeight="1">
      <c r="A38" s="84"/>
      <c r="B38" s="22"/>
      <c r="C38" s="145">
        <f>C37-280</f>
        <v>-280</v>
      </c>
      <c r="D38" s="145">
        <f>D37-280</f>
        <v>-280</v>
      </c>
      <c r="E38" s="145">
        <f>E37-280</f>
        <v>-280</v>
      </c>
      <c r="F38" s="144"/>
      <c r="G38" s="144"/>
      <c r="H38" s="144"/>
      <c r="I38" s="53"/>
    </row>
    <row r="39" spans="1:31" s="2" customFormat="1" ht="20.100000000000001" hidden="1" customHeight="1">
      <c r="A39" s="84"/>
      <c r="B39" s="22"/>
      <c r="C39" s="145">
        <f>C38+85</f>
        <v>-195</v>
      </c>
      <c r="D39" s="145">
        <f>D38+85</f>
        <v>-195</v>
      </c>
      <c r="E39" s="145">
        <f>E38+85</f>
        <v>-195</v>
      </c>
      <c r="F39" s="144"/>
      <c r="G39" s="144"/>
      <c r="H39" s="144"/>
      <c r="I39" s="53"/>
    </row>
    <row r="40" spans="1:31" s="2" customFormat="1" ht="20.100000000000001" hidden="1" customHeight="1">
      <c r="A40" s="84"/>
      <c r="B40" s="22"/>
      <c r="C40" s="30">
        <f>C39-E2</f>
        <v>-43539</v>
      </c>
      <c r="D40" s="30">
        <f>D39-E2</f>
        <v>-43539</v>
      </c>
      <c r="E40" s="30">
        <f>E39-E2</f>
        <v>-43539</v>
      </c>
      <c r="F40" s="144"/>
      <c r="G40" s="144"/>
      <c r="H40" s="144"/>
      <c r="I40" s="53"/>
    </row>
    <row r="41" spans="1:31" s="2" customFormat="1" ht="20.100000000000001" hidden="1" customHeight="1">
      <c r="A41" s="84"/>
      <c r="B41" s="22"/>
      <c r="C41" s="30">
        <f>30-C40</f>
        <v>43569</v>
      </c>
      <c r="D41" s="30">
        <f>30-D40</f>
        <v>43569</v>
      </c>
      <c r="E41" s="30">
        <f>30-E40</f>
        <v>43569</v>
      </c>
      <c r="F41" s="144"/>
      <c r="G41" s="144"/>
      <c r="H41" s="144"/>
      <c r="I41" s="53"/>
    </row>
    <row r="42" spans="1:31" s="2" customFormat="1" ht="20.100000000000001" hidden="1" customHeight="1">
      <c r="A42" s="84"/>
      <c r="B42" s="22"/>
      <c r="C42" s="30">
        <f>IF(C41&gt;30,30,C41)</f>
        <v>30</v>
      </c>
      <c r="D42" s="30">
        <f>IF(D41&gt;30,30,D41)</f>
        <v>30</v>
      </c>
      <c r="E42" s="30">
        <f>IF(E41&gt;30,30,E41)</f>
        <v>30</v>
      </c>
      <c r="F42" s="144"/>
      <c r="G42" s="144"/>
      <c r="H42" s="144"/>
      <c r="I42" s="53"/>
    </row>
    <row r="43" spans="1:31" s="2" customFormat="1" ht="20.100000000000001" hidden="1" customHeight="1">
      <c r="A43" s="84"/>
      <c r="B43" s="22"/>
      <c r="C43" s="30">
        <f>IF(C39&gt;E2,G2-C40,C42)</f>
        <v>30</v>
      </c>
      <c r="D43" s="30">
        <f>IF(D39&gt;E2,G2-D40,D42)</f>
        <v>30</v>
      </c>
      <c r="E43" s="30">
        <f>IF(E39&gt;E2,G2-E40,E42)</f>
        <v>30</v>
      </c>
      <c r="F43" s="144"/>
      <c r="G43" s="144"/>
      <c r="H43" s="144"/>
      <c r="I43" s="53"/>
    </row>
    <row r="44" spans="1:31" s="2" customFormat="1" ht="18" hidden="1" customHeight="1">
      <c r="A44" s="84"/>
      <c r="B44" s="22"/>
      <c r="C44" s="146">
        <f>IF(C42&gt;0,C33*17/100,0)*C43/30</f>
        <v>69.53</v>
      </c>
      <c r="D44" s="146">
        <f>IF(D42&gt;0,D33*17/100,0)*D43/30</f>
        <v>0</v>
      </c>
      <c r="E44" s="146">
        <f>IF(E42&gt;0,E33*17/100,0)*E43/30</f>
        <v>0</v>
      </c>
      <c r="F44" s="24"/>
      <c r="G44" s="24"/>
      <c r="H44" s="24"/>
      <c r="I44" s="53"/>
    </row>
    <row r="45" spans="1:31" s="2" customFormat="1" ht="18" hidden="1" customHeight="1">
      <c r="A45" s="84"/>
      <c r="B45" s="22"/>
      <c r="C45" s="146">
        <f>IF(C37&lt;F2,C44*DAY(C37)/30,C44)</f>
        <v>0</v>
      </c>
      <c r="D45" s="146">
        <f>IF(D37&lt;F2,D44*DAY(D37)/30,D44)</f>
        <v>0</v>
      </c>
      <c r="E45" s="146">
        <f>IF(E37&lt;F2,E44*DAY(E37)/30,E44)</f>
        <v>0</v>
      </c>
      <c r="F45" s="24"/>
      <c r="G45" s="24"/>
      <c r="H45" s="24"/>
      <c r="I45" s="53"/>
    </row>
    <row r="46" spans="1:31" s="2" customFormat="1" ht="18" customHeight="1">
      <c r="A46" s="333" t="s">
        <v>12</v>
      </c>
      <c r="B46" s="648">
        <f>IF(C46="ja",AE90,0)</f>
        <v>0</v>
      </c>
      <c r="C46" s="23" t="str">
        <f>Zusatzeingaben!C46</f>
        <v>Ja</v>
      </c>
      <c r="D46" s="162"/>
      <c r="E46" s="161"/>
      <c r="F46" s="161"/>
      <c r="G46" s="161"/>
      <c r="H46" s="161"/>
      <c r="I46" s="172"/>
      <c r="V46" s="3"/>
      <c r="Y46" s="3"/>
      <c r="AA46" s="3"/>
      <c r="AC46" s="3"/>
    </row>
    <row r="47" spans="1:31" s="2" customFormat="1" ht="18" hidden="1" customHeight="1">
      <c r="A47" s="333"/>
      <c r="B47" s="362"/>
      <c r="C47" s="25"/>
      <c r="D47" s="162"/>
      <c r="E47" s="161"/>
      <c r="F47" s="161"/>
      <c r="G47" s="161"/>
      <c r="H47" s="161"/>
      <c r="I47" s="370"/>
      <c r="J47" s="376"/>
      <c r="K47" s="384" t="s">
        <v>117</v>
      </c>
      <c r="L47" s="377"/>
      <c r="M47" s="376"/>
      <c r="N47" s="384" t="s">
        <v>118</v>
      </c>
      <c r="O47" s="377"/>
      <c r="P47" s="376"/>
      <c r="Q47" s="384" t="s">
        <v>119</v>
      </c>
      <c r="R47" s="377"/>
      <c r="S47" s="376"/>
      <c r="T47" s="384" t="s">
        <v>120</v>
      </c>
      <c r="U47" s="384"/>
      <c r="V47" s="2060" t="s">
        <v>121</v>
      </c>
      <c r="W47" s="2061"/>
      <c r="X47" s="388"/>
      <c r="Y47" s="376"/>
      <c r="Z47" s="377" t="s">
        <v>122</v>
      </c>
      <c r="AA47" s="376"/>
      <c r="AB47" s="377" t="s">
        <v>123</v>
      </c>
      <c r="AC47" s="376"/>
      <c r="AD47" s="377" t="s">
        <v>124</v>
      </c>
      <c r="AE47" s="367">
        <f>IF(OR(K48&gt;0,N48&gt;0,Q48&gt;0,T48&gt;0,W48&gt;0,Z48&gt;0,AB48&gt;0,AD48&gt;0),1,0)</f>
        <v>0</v>
      </c>
    </row>
    <row r="48" spans="1:31" s="2" customFormat="1" ht="18" hidden="1" customHeight="1">
      <c r="A48" s="84"/>
      <c r="B48" s="22"/>
      <c r="C48" s="146"/>
      <c r="D48" s="162"/>
      <c r="E48" s="159">
        <f>IF(E$8&gt;$E$2,"",DATEDIF(E$8,$E$2,"y"))</f>
        <v>118</v>
      </c>
      <c r="F48" s="159">
        <f>IF(F$8&gt;$E$2,"",DATEDIF(F$8,$E$2,"y"))</f>
        <v>118</v>
      </c>
      <c r="G48" s="159">
        <f>IF(G$8&gt;$E$2,"",DATEDIF(G$8,$E$2,"y"))</f>
        <v>118</v>
      </c>
      <c r="H48" s="159">
        <f>IF(H$8&gt;$E$2,"",DATEDIF(H$8,$E$2,"y"))</f>
        <v>118</v>
      </c>
      <c r="I48" s="374">
        <f>IF(I$8&gt;$E$2,"",DATEDIF(I$8,$E$2,"y"))</f>
        <v>118</v>
      </c>
      <c r="J48" s="174">
        <f t="shared" ref="J48:J75" si="11">COUNTIF(E48:I48,"&lt;7")</f>
        <v>0</v>
      </c>
      <c r="K48" s="64">
        <f>IF(J48=1,C$23*36%,0)</f>
        <v>0</v>
      </c>
      <c r="L48" s="385">
        <f t="shared" ref="L48:L78" si="12">IF(OR(Q48&gt;0,Z48&gt;0,AB48&gt;0,AD48&gt;0),0,K48)</f>
        <v>0</v>
      </c>
      <c r="M48" s="391">
        <f>SUMPRODUCT((E48:I48&gt;6)*(E48:I48&lt;18))</f>
        <v>0</v>
      </c>
      <c r="N48" s="64">
        <f>IF(AND(K48=0,M48=1),C$23*12%,0)</f>
        <v>0</v>
      </c>
      <c r="O48" s="385">
        <f>IF(OR(Z48&gt;0,AB48&gt;0),0,N48)</f>
        <v>0</v>
      </c>
      <c r="P48" s="399">
        <f>COUNTIF(E48:I48,"&lt;16")</f>
        <v>0</v>
      </c>
      <c r="Q48" s="64">
        <f t="shared" ref="Q48:Q78" si="13">IF(P48=2,C$23*36%,0)</f>
        <v>0</v>
      </c>
      <c r="R48" s="385">
        <f>IF(OR(Z48&gt;0,AB48&gt;0,AD48&gt;0),0,Q48)</f>
        <v>0</v>
      </c>
      <c r="S48" s="380">
        <f>SUMPRODUCT((E48:I48&gt;15)*(E48:I48&lt;18))</f>
        <v>0</v>
      </c>
      <c r="T48" s="382">
        <f t="shared" ref="T48:T78" si="14">IF(S48=2,C$23*24%,0)</f>
        <v>0</v>
      </c>
      <c r="U48" s="64">
        <f>IF(OR(Z48&gt;0,AB48&gt;0,AD48&gt;0),0,T48)</f>
        <v>0</v>
      </c>
      <c r="V48" s="174">
        <f>SUMPRODUCT((E48:I48&gt;6)*(E48:I48&lt;16))+SUMPRODUCT((E48:I48&gt;15)*(E48:I48&lt;18))</f>
        <v>0</v>
      </c>
      <c r="W48" s="64">
        <f t="shared" ref="W48:W78" si="15">IF(AND(Q48=0,V48=2),C$23*24%,0)</f>
        <v>0</v>
      </c>
      <c r="X48" s="385">
        <f>IF(OR(T48&gt;0,Z48&gt;0,AB48&gt;0,AD48&gt;0),0,W48)</f>
        <v>0</v>
      </c>
      <c r="Y48" s="112">
        <f>COUNTIF(E48:I48,"&lt;18")</f>
        <v>0</v>
      </c>
      <c r="Z48" s="116">
        <f t="shared" ref="Z48:Z78" si="16">IF(Y48=3,C$23*36%,0)</f>
        <v>0</v>
      </c>
      <c r="AA48" s="112">
        <f>COUNTIF(E48:I48,"&lt;18")</f>
        <v>0</v>
      </c>
      <c r="AB48" s="116">
        <f t="shared" ref="AB48:AB78" si="17">IF(AA48=4,C$23*48%,0)</f>
        <v>0</v>
      </c>
      <c r="AC48" s="112">
        <f>COUNTIF(E48:I48,"&lt;18")</f>
        <v>0</v>
      </c>
      <c r="AD48" s="116">
        <f t="shared" ref="AD48:AD78" si="18">IF(AC48=5,C$23*60%,0)</f>
        <v>0</v>
      </c>
      <c r="AE48" s="363"/>
    </row>
    <row r="49" spans="1:30" s="2" customFormat="1" ht="18" hidden="1" customHeight="1">
      <c r="A49" s="84"/>
      <c r="B49" s="22"/>
      <c r="C49" s="146"/>
      <c r="D49" s="162"/>
      <c r="E49" s="159">
        <f>IF(E8&gt;$E$2+1,"",DATEDIF(E8,$E$2+1,"y"))</f>
        <v>118</v>
      </c>
      <c r="F49" s="159">
        <f>IF(F8&gt;$E$2+1,"",DATEDIF(F8,$E$2+1,"y"))</f>
        <v>118</v>
      </c>
      <c r="G49" s="159">
        <f>IF(G8&gt;$E$2+1,"",DATEDIF(G8,$E$2+1,"y"))</f>
        <v>118</v>
      </c>
      <c r="H49" s="159">
        <f>IF(H8&gt;$E$2+1,"",DATEDIF(H8,$E$2+1,"y"))</f>
        <v>118</v>
      </c>
      <c r="I49" s="159">
        <f>IF(I8&gt;$E$2+1,"",DATEDIF(I8,$E$2+1,"y"))</f>
        <v>118</v>
      </c>
      <c r="J49" s="174">
        <f t="shared" si="11"/>
        <v>0</v>
      </c>
      <c r="K49" s="64">
        <f t="shared" ref="K49:K78" si="19">IF(J49=1,C$23*36%,0)</f>
        <v>0</v>
      </c>
      <c r="L49" s="385">
        <f t="shared" si="12"/>
        <v>0</v>
      </c>
      <c r="M49" s="391">
        <f t="shared" ref="M49:M75" si="20">SUMPRODUCT((E49:I49&gt;6)*(E49:I49&lt;18))</f>
        <v>0</v>
      </c>
      <c r="N49" s="64">
        <f t="shared" ref="N49:N78" si="21">IF(AND(K49=0,M49=1),C$23*12%,0)</f>
        <v>0</v>
      </c>
      <c r="O49" s="385">
        <f t="shared" ref="O49:O78" si="22">IF(OR(Z49&gt;0,AB49&gt;0),0,N49)</f>
        <v>0</v>
      </c>
      <c r="P49" s="399">
        <f t="shared" ref="P49:P75" si="23">COUNTIF(E49:I49,"&lt;16")</f>
        <v>0</v>
      </c>
      <c r="Q49" s="64">
        <f t="shared" si="13"/>
        <v>0</v>
      </c>
      <c r="R49" s="385">
        <f t="shared" ref="R49:R78" si="24">IF(OR(Z49&gt;0,AB49&gt;0,AD49&gt;0),0,Q49)</f>
        <v>0</v>
      </c>
      <c r="S49" s="380">
        <f t="shared" ref="S49:S75" si="25">SUMPRODUCT((E49:I49&gt;15)*(E49:I49&lt;18))</f>
        <v>0</v>
      </c>
      <c r="T49" s="383">
        <f t="shared" si="14"/>
        <v>0</v>
      </c>
      <c r="U49" s="64">
        <f t="shared" ref="U49:U78" si="26">IF(OR(Z49&gt;0,AB49&gt;0,AD49&gt;0),0,T49)</f>
        <v>0</v>
      </c>
      <c r="V49" s="174">
        <f t="shared" ref="V49:V75" si="27">SUMPRODUCT((E49:I49&gt;6)*(E49:I49&lt;16))+SUMPRODUCT((E49:I49&gt;15)*(E49:I49&lt;18))</f>
        <v>0</v>
      </c>
      <c r="W49" s="64">
        <f t="shared" si="15"/>
        <v>0</v>
      </c>
      <c r="X49" s="385">
        <f t="shared" ref="X49:X78" si="28">IF(OR(T49&gt;0,Z49&gt;0,AB49&gt;0,AD49&gt;0),0,W49)</f>
        <v>0</v>
      </c>
      <c r="Y49" s="79">
        <f t="shared" ref="Y49:Y75" si="29">COUNTIF(E49:I49,"&lt;18")</f>
        <v>0</v>
      </c>
      <c r="Z49" s="53">
        <f t="shared" si="16"/>
        <v>0</v>
      </c>
      <c r="AA49" s="79">
        <f t="shared" ref="AA49:AA75" si="30">COUNTIF(E49:I49,"&lt;18")</f>
        <v>0</v>
      </c>
      <c r="AB49" s="53">
        <f t="shared" si="17"/>
        <v>0</v>
      </c>
      <c r="AC49" s="79">
        <f t="shared" ref="AC49:AC75" si="31">COUNTIF(E49:I49,"&lt;18")</f>
        <v>0</v>
      </c>
      <c r="AD49" s="53">
        <f t="shared" si="18"/>
        <v>0</v>
      </c>
    </row>
    <row r="50" spans="1:30" s="2" customFormat="1" ht="18" hidden="1" customHeight="1">
      <c r="A50" s="84"/>
      <c r="B50" s="22"/>
      <c r="C50" s="146"/>
      <c r="D50" s="162"/>
      <c r="E50" s="159">
        <f>IF(E8&gt;$E$2+2,"",DATEDIF(E8,$E$2+2,"y"))</f>
        <v>118</v>
      </c>
      <c r="F50" s="159">
        <f>IF(F8&gt;$E$2+2,"",DATEDIF(F8,$E$2+2,"y"))</f>
        <v>118</v>
      </c>
      <c r="G50" s="159">
        <f>IF(G8&gt;$E$2+2,"",DATEDIF(G8,$E$2+2,"y"))</f>
        <v>118</v>
      </c>
      <c r="H50" s="159">
        <f>IF(H8&gt;$E$2+2,"",DATEDIF(H8,$E$2+2,"y"))</f>
        <v>118</v>
      </c>
      <c r="I50" s="159">
        <f>IF(I8&gt;$E$2+2,"",DATEDIF(I8,$E$2+2,"y"))</f>
        <v>118</v>
      </c>
      <c r="J50" s="174">
        <f t="shared" si="11"/>
        <v>0</v>
      </c>
      <c r="K50" s="64">
        <f t="shared" si="19"/>
        <v>0</v>
      </c>
      <c r="L50" s="385">
        <f t="shared" si="12"/>
        <v>0</v>
      </c>
      <c r="M50" s="391">
        <f t="shared" si="20"/>
        <v>0</v>
      </c>
      <c r="N50" s="64">
        <f t="shared" si="21"/>
        <v>0</v>
      </c>
      <c r="O50" s="385">
        <f t="shared" si="22"/>
        <v>0</v>
      </c>
      <c r="P50" s="399">
        <f t="shared" si="23"/>
        <v>0</v>
      </c>
      <c r="Q50" s="64">
        <f t="shared" si="13"/>
        <v>0</v>
      </c>
      <c r="R50" s="385">
        <f t="shared" si="24"/>
        <v>0</v>
      </c>
      <c r="S50" s="380">
        <f t="shared" si="25"/>
        <v>0</v>
      </c>
      <c r="T50" s="383">
        <f t="shared" si="14"/>
        <v>0</v>
      </c>
      <c r="U50" s="64">
        <f t="shared" si="26"/>
        <v>0</v>
      </c>
      <c r="V50" s="174">
        <f t="shared" si="27"/>
        <v>0</v>
      </c>
      <c r="W50" s="64">
        <f t="shared" si="15"/>
        <v>0</v>
      </c>
      <c r="X50" s="385">
        <f t="shared" si="28"/>
        <v>0</v>
      </c>
      <c r="Y50" s="79">
        <f t="shared" si="29"/>
        <v>0</v>
      </c>
      <c r="Z50" s="53">
        <f t="shared" si="16"/>
        <v>0</v>
      </c>
      <c r="AA50" s="79">
        <f t="shared" si="30"/>
        <v>0</v>
      </c>
      <c r="AB50" s="53">
        <f t="shared" si="17"/>
        <v>0</v>
      </c>
      <c r="AC50" s="79">
        <f t="shared" si="31"/>
        <v>0</v>
      </c>
      <c r="AD50" s="53">
        <f t="shared" si="18"/>
        <v>0</v>
      </c>
    </row>
    <row r="51" spans="1:30" s="2" customFormat="1" ht="18" hidden="1" customHeight="1">
      <c r="A51" s="84"/>
      <c r="B51" s="22"/>
      <c r="C51" s="146"/>
      <c r="D51" s="162"/>
      <c r="E51" s="159">
        <f>IF(E8&gt;$E$2+3,"",DATEDIF(E8,$E$2+3,"y"))</f>
        <v>118</v>
      </c>
      <c r="F51" s="159">
        <f>IF(F8&gt;$E$2+3,"",DATEDIF(F8,$E$2+3,"y"))</f>
        <v>118</v>
      </c>
      <c r="G51" s="159">
        <f>IF(G8&gt;$E$2+3,"",DATEDIF(G8,$E$2+3,"y"))</f>
        <v>118</v>
      </c>
      <c r="H51" s="159">
        <f>IF(H8&gt;$E$2+3,"",DATEDIF(H8,$E$2+3,"y"))</f>
        <v>118</v>
      </c>
      <c r="I51" s="159">
        <f>IF(I8&gt;$E$2+3,"",DATEDIF(I8,$E$2+3,"y"))</f>
        <v>118</v>
      </c>
      <c r="J51" s="174">
        <f t="shared" si="11"/>
        <v>0</v>
      </c>
      <c r="K51" s="64">
        <f t="shared" si="19"/>
        <v>0</v>
      </c>
      <c r="L51" s="385">
        <f t="shared" si="12"/>
        <v>0</v>
      </c>
      <c r="M51" s="391">
        <f t="shared" si="20"/>
        <v>0</v>
      </c>
      <c r="N51" s="64">
        <f t="shared" si="21"/>
        <v>0</v>
      </c>
      <c r="O51" s="385">
        <f t="shared" si="22"/>
        <v>0</v>
      </c>
      <c r="P51" s="399">
        <f t="shared" si="23"/>
        <v>0</v>
      </c>
      <c r="Q51" s="64">
        <f t="shared" si="13"/>
        <v>0</v>
      </c>
      <c r="R51" s="385">
        <f t="shared" si="24"/>
        <v>0</v>
      </c>
      <c r="S51" s="380">
        <f t="shared" si="25"/>
        <v>0</v>
      </c>
      <c r="T51" s="383">
        <f t="shared" si="14"/>
        <v>0</v>
      </c>
      <c r="U51" s="64">
        <f t="shared" si="26"/>
        <v>0</v>
      </c>
      <c r="V51" s="174">
        <f t="shared" si="27"/>
        <v>0</v>
      </c>
      <c r="W51" s="64">
        <f t="shared" si="15"/>
        <v>0</v>
      </c>
      <c r="X51" s="385">
        <f t="shared" si="28"/>
        <v>0</v>
      </c>
      <c r="Y51" s="79">
        <f t="shared" si="29"/>
        <v>0</v>
      </c>
      <c r="Z51" s="53">
        <f t="shared" si="16"/>
        <v>0</v>
      </c>
      <c r="AA51" s="79">
        <f t="shared" si="30"/>
        <v>0</v>
      </c>
      <c r="AB51" s="53">
        <f t="shared" si="17"/>
        <v>0</v>
      </c>
      <c r="AC51" s="79">
        <f t="shared" si="31"/>
        <v>0</v>
      </c>
      <c r="AD51" s="53">
        <f t="shared" si="18"/>
        <v>0</v>
      </c>
    </row>
    <row r="52" spans="1:30" s="2" customFormat="1" ht="18" hidden="1" customHeight="1">
      <c r="A52" s="84"/>
      <c r="B52" s="22"/>
      <c r="C52" s="146"/>
      <c r="D52" s="162"/>
      <c r="E52" s="159">
        <f>IF(E8&gt;$E$2+4,"",DATEDIF(E8,$E$2+4,"y"))</f>
        <v>118</v>
      </c>
      <c r="F52" s="159">
        <f>IF(F8&gt;$E$2+4,"",DATEDIF(F8,$E$2+4,"y"))</f>
        <v>118</v>
      </c>
      <c r="G52" s="159">
        <f>IF(G8&gt;$E$2+4,"",DATEDIF(G8,$E$2+4,"y"))</f>
        <v>118</v>
      </c>
      <c r="H52" s="159">
        <f>IF(H8&gt;$E$2+4,"",DATEDIF(H8,$E$2+4,"y"))</f>
        <v>118</v>
      </c>
      <c r="I52" s="159">
        <f>IF(I8&gt;$E$2+4,"",DATEDIF(I8,$E$2+4,"y"))</f>
        <v>118</v>
      </c>
      <c r="J52" s="174">
        <f t="shared" si="11"/>
        <v>0</v>
      </c>
      <c r="K52" s="64">
        <f t="shared" si="19"/>
        <v>0</v>
      </c>
      <c r="L52" s="385">
        <f t="shared" si="12"/>
        <v>0</v>
      </c>
      <c r="M52" s="391">
        <f t="shared" si="20"/>
        <v>0</v>
      </c>
      <c r="N52" s="64">
        <f t="shared" si="21"/>
        <v>0</v>
      </c>
      <c r="O52" s="385">
        <f t="shared" si="22"/>
        <v>0</v>
      </c>
      <c r="P52" s="399">
        <f t="shared" si="23"/>
        <v>0</v>
      </c>
      <c r="Q52" s="64">
        <f t="shared" si="13"/>
        <v>0</v>
      </c>
      <c r="R52" s="385">
        <f t="shared" si="24"/>
        <v>0</v>
      </c>
      <c r="S52" s="380">
        <f t="shared" si="25"/>
        <v>0</v>
      </c>
      <c r="T52" s="383">
        <f t="shared" si="14"/>
        <v>0</v>
      </c>
      <c r="U52" s="64">
        <f t="shared" si="26"/>
        <v>0</v>
      </c>
      <c r="V52" s="174">
        <f t="shared" si="27"/>
        <v>0</v>
      </c>
      <c r="W52" s="64">
        <f t="shared" si="15"/>
        <v>0</v>
      </c>
      <c r="X52" s="385">
        <f t="shared" si="28"/>
        <v>0</v>
      </c>
      <c r="Y52" s="79">
        <f t="shared" si="29"/>
        <v>0</v>
      </c>
      <c r="Z52" s="53">
        <f t="shared" si="16"/>
        <v>0</v>
      </c>
      <c r="AA52" s="79">
        <f t="shared" si="30"/>
        <v>0</v>
      </c>
      <c r="AB52" s="53">
        <f t="shared" si="17"/>
        <v>0</v>
      </c>
      <c r="AC52" s="79">
        <f t="shared" si="31"/>
        <v>0</v>
      </c>
      <c r="AD52" s="53">
        <f t="shared" si="18"/>
        <v>0</v>
      </c>
    </row>
    <row r="53" spans="1:30" s="2" customFormat="1" ht="18" hidden="1" customHeight="1">
      <c r="A53" s="84"/>
      <c r="B53" s="22"/>
      <c r="C53" s="146"/>
      <c r="D53" s="162"/>
      <c r="E53" s="159">
        <f>IF(E8&gt;$E$2+5,"",DATEDIF(E8,$E$2+5,"y"))</f>
        <v>118</v>
      </c>
      <c r="F53" s="159">
        <f>IF(F8&gt;$E$2+5,"",DATEDIF(F8,$E$2+5,"y"))</f>
        <v>118</v>
      </c>
      <c r="G53" s="159">
        <f>IF(G8&gt;$E$2+5,"",DATEDIF(G8,$E$2+5,"y"))</f>
        <v>118</v>
      </c>
      <c r="H53" s="159">
        <f>IF(H8&gt;$E$2+5,"",DATEDIF(H8,$E$2+5,"y"))</f>
        <v>118</v>
      </c>
      <c r="I53" s="159">
        <f>IF(I8&gt;$E$2+5,"",DATEDIF(I8,$E$2+5,"y"))</f>
        <v>118</v>
      </c>
      <c r="J53" s="174">
        <f t="shared" si="11"/>
        <v>0</v>
      </c>
      <c r="K53" s="64">
        <f t="shared" si="19"/>
        <v>0</v>
      </c>
      <c r="L53" s="385">
        <f t="shared" si="12"/>
        <v>0</v>
      </c>
      <c r="M53" s="391">
        <f t="shared" si="20"/>
        <v>0</v>
      </c>
      <c r="N53" s="64">
        <f t="shared" si="21"/>
        <v>0</v>
      </c>
      <c r="O53" s="385">
        <f t="shared" si="22"/>
        <v>0</v>
      </c>
      <c r="P53" s="399">
        <f t="shared" si="23"/>
        <v>0</v>
      </c>
      <c r="Q53" s="64">
        <f t="shared" si="13"/>
        <v>0</v>
      </c>
      <c r="R53" s="385">
        <f t="shared" si="24"/>
        <v>0</v>
      </c>
      <c r="S53" s="380">
        <f t="shared" si="25"/>
        <v>0</v>
      </c>
      <c r="T53" s="383">
        <f t="shared" si="14"/>
        <v>0</v>
      </c>
      <c r="U53" s="64">
        <f t="shared" si="26"/>
        <v>0</v>
      </c>
      <c r="V53" s="174">
        <f t="shared" si="27"/>
        <v>0</v>
      </c>
      <c r="W53" s="64">
        <f t="shared" si="15"/>
        <v>0</v>
      </c>
      <c r="X53" s="385">
        <f t="shared" si="28"/>
        <v>0</v>
      </c>
      <c r="Y53" s="79">
        <f t="shared" si="29"/>
        <v>0</v>
      </c>
      <c r="Z53" s="53">
        <f t="shared" si="16"/>
        <v>0</v>
      </c>
      <c r="AA53" s="79">
        <f t="shared" si="30"/>
        <v>0</v>
      </c>
      <c r="AB53" s="53">
        <f t="shared" si="17"/>
        <v>0</v>
      </c>
      <c r="AC53" s="79">
        <f t="shared" si="31"/>
        <v>0</v>
      </c>
      <c r="AD53" s="53">
        <f t="shared" si="18"/>
        <v>0</v>
      </c>
    </row>
    <row r="54" spans="1:30" s="2" customFormat="1" ht="18" hidden="1" customHeight="1">
      <c r="A54" s="84"/>
      <c r="B54" s="22"/>
      <c r="C54" s="146"/>
      <c r="D54" s="162"/>
      <c r="E54" s="159">
        <f>IF(E8&gt;$E$2+6,"",DATEDIF(E8,$E$2+6,"y"))</f>
        <v>118</v>
      </c>
      <c r="F54" s="159">
        <f>IF(F8&gt;$E$2+6,"",DATEDIF(F8,$E$2+6,"y"))</f>
        <v>118</v>
      </c>
      <c r="G54" s="159">
        <f>IF(G8&gt;$E$2+6,"",DATEDIF(G8,$E$2+6,"y"))</f>
        <v>118</v>
      </c>
      <c r="H54" s="159">
        <f>IF(H8&gt;$E$2+6,"",DATEDIF(H8,$E$2+6,"y"))</f>
        <v>118</v>
      </c>
      <c r="I54" s="159">
        <f>IF(I8&gt;$E$2+6,"",DATEDIF(I8,$E$2+6,"y"))</f>
        <v>118</v>
      </c>
      <c r="J54" s="174">
        <f t="shared" si="11"/>
        <v>0</v>
      </c>
      <c r="K54" s="64">
        <f t="shared" si="19"/>
        <v>0</v>
      </c>
      <c r="L54" s="385">
        <f t="shared" si="12"/>
        <v>0</v>
      </c>
      <c r="M54" s="391">
        <f t="shared" si="20"/>
        <v>0</v>
      </c>
      <c r="N54" s="64">
        <f t="shared" si="21"/>
        <v>0</v>
      </c>
      <c r="O54" s="385">
        <f t="shared" si="22"/>
        <v>0</v>
      </c>
      <c r="P54" s="399">
        <f t="shared" si="23"/>
        <v>0</v>
      </c>
      <c r="Q54" s="64">
        <f t="shared" si="13"/>
        <v>0</v>
      </c>
      <c r="R54" s="385">
        <f t="shared" si="24"/>
        <v>0</v>
      </c>
      <c r="S54" s="380">
        <f t="shared" si="25"/>
        <v>0</v>
      </c>
      <c r="T54" s="383">
        <f t="shared" si="14"/>
        <v>0</v>
      </c>
      <c r="U54" s="64">
        <f t="shared" si="26"/>
        <v>0</v>
      </c>
      <c r="V54" s="174">
        <f t="shared" si="27"/>
        <v>0</v>
      </c>
      <c r="W54" s="64">
        <f t="shared" si="15"/>
        <v>0</v>
      </c>
      <c r="X54" s="385">
        <f t="shared" si="28"/>
        <v>0</v>
      </c>
      <c r="Y54" s="79">
        <f t="shared" si="29"/>
        <v>0</v>
      </c>
      <c r="Z54" s="53">
        <f t="shared" si="16"/>
        <v>0</v>
      </c>
      <c r="AA54" s="79">
        <f t="shared" si="30"/>
        <v>0</v>
      </c>
      <c r="AB54" s="53">
        <f t="shared" si="17"/>
        <v>0</v>
      </c>
      <c r="AC54" s="79">
        <f t="shared" si="31"/>
        <v>0</v>
      </c>
      <c r="AD54" s="53">
        <f t="shared" si="18"/>
        <v>0</v>
      </c>
    </row>
    <row r="55" spans="1:30" s="2" customFormat="1" ht="18" hidden="1" customHeight="1">
      <c r="A55" s="84"/>
      <c r="B55" s="22"/>
      <c r="C55" s="146"/>
      <c r="D55" s="162"/>
      <c r="E55" s="159">
        <f>IF(E8&gt;$E$2+7,"",DATEDIF(E8,$E$2+7,"y"))</f>
        <v>118</v>
      </c>
      <c r="F55" s="159">
        <f>IF(F8&gt;$E$2+7,"",DATEDIF(F8,$E$2+7,"y"))</f>
        <v>118</v>
      </c>
      <c r="G55" s="159">
        <f>IF(G8&gt;$E$2+7,"",DATEDIF(G8,$E$2+7,"y"))</f>
        <v>118</v>
      </c>
      <c r="H55" s="159">
        <f>IF(H8&gt;$E$2+7,"",DATEDIF(H8,$E$2+7,"y"))</f>
        <v>118</v>
      </c>
      <c r="I55" s="159">
        <f>IF(I8&gt;$E$2+7,"",DATEDIF(I8,$E$2+7,"y"))</f>
        <v>118</v>
      </c>
      <c r="J55" s="174">
        <f t="shared" si="11"/>
        <v>0</v>
      </c>
      <c r="K55" s="64">
        <f t="shared" si="19"/>
        <v>0</v>
      </c>
      <c r="L55" s="385">
        <f t="shared" si="12"/>
        <v>0</v>
      </c>
      <c r="M55" s="391">
        <f t="shared" si="20"/>
        <v>0</v>
      </c>
      <c r="N55" s="64">
        <f t="shared" si="21"/>
        <v>0</v>
      </c>
      <c r="O55" s="385">
        <f t="shared" si="22"/>
        <v>0</v>
      </c>
      <c r="P55" s="399">
        <f t="shared" si="23"/>
        <v>0</v>
      </c>
      <c r="Q55" s="64">
        <f t="shared" si="13"/>
        <v>0</v>
      </c>
      <c r="R55" s="385">
        <f t="shared" si="24"/>
        <v>0</v>
      </c>
      <c r="S55" s="380">
        <f t="shared" si="25"/>
        <v>0</v>
      </c>
      <c r="T55" s="383">
        <f t="shared" si="14"/>
        <v>0</v>
      </c>
      <c r="U55" s="64">
        <f t="shared" si="26"/>
        <v>0</v>
      </c>
      <c r="V55" s="174">
        <f t="shared" si="27"/>
        <v>0</v>
      </c>
      <c r="W55" s="64">
        <f t="shared" si="15"/>
        <v>0</v>
      </c>
      <c r="X55" s="385">
        <f t="shared" si="28"/>
        <v>0</v>
      </c>
      <c r="Y55" s="79">
        <f t="shared" si="29"/>
        <v>0</v>
      </c>
      <c r="Z55" s="53">
        <f t="shared" si="16"/>
        <v>0</v>
      </c>
      <c r="AA55" s="79">
        <f t="shared" si="30"/>
        <v>0</v>
      </c>
      <c r="AB55" s="53">
        <f t="shared" si="17"/>
        <v>0</v>
      </c>
      <c r="AC55" s="79">
        <f t="shared" si="31"/>
        <v>0</v>
      </c>
      <c r="AD55" s="53">
        <f t="shared" si="18"/>
        <v>0</v>
      </c>
    </row>
    <row r="56" spans="1:30" s="2" customFormat="1" ht="18" hidden="1" customHeight="1">
      <c r="A56" s="84"/>
      <c r="B56" s="22"/>
      <c r="C56" s="146"/>
      <c r="D56" s="162"/>
      <c r="E56" s="159">
        <f>IF(E8&gt;$E$2+8,"",DATEDIF(E8,$E$2+8,"y"))</f>
        <v>118</v>
      </c>
      <c r="F56" s="159">
        <f>IF(F8&gt;$E$2+8,"",DATEDIF(F8,$E$2+8,"y"))</f>
        <v>118</v>
      </c>
      <c r="G56" s="159">
        <f>IF(G8&gt;$E$2+8,"",DATEDIF(G8,$E$2+8,"y"))</f>
        <v>118</v>
      </c>
      <c r="H56" s="159">
        <f>IF(H8&gt;$E$2+8,"",DATEDIF(H8,$E$2+8,"y"))</f>
        <v>118</v>
      </c>
      <c r="I56" s="159">
        <f>IF(I8&gt;$E$2+8,"",DATEDIF(I8,$E$2+8,"y"))</f>
        <v>118</v>
      </c>
      <c r="J56" s="174">
        <f t="shared" si="11"/>
        <v>0</v>
      </c>
      <c r="K56" s="64">
        <f t="shared" si="19"/>
        <v>0</v>
      </c>
      <c r="L56" s="385">
        <f t="shared" si="12"/>
        <v>0</v>
      </c>
      <c r="M56" s="391">
        <f t="shared" si="20"/>
        <v>0</v>
      </c>
      <c r="N56" s="64">
        <f t="shared" si="21"/>
        <v>0</v>
      </c>
      <c r="O56" s="385">
        <f t="shared" si="22"/>
        <v>0</v>
      </c>
      <c r="P56" s="399">
        <f t="shared" si="23"/>
        <v>0</v>
      </c>
      <c r="Q56" s="64">
        <f t="shared" si="13"/>
        <v>0</v>
      </c>
      <c r="R56" s="385">
        <f t="shared" si="24"/>
        <v>0</v>
      </c>
      <c r="S56" s="380">
        <f t="shared" si="25"/>
        <v>0</v>
      </c>
      <c r="T56" s="383">
        <f t="shared" si="14"/>
        <v>0</v>
      </c>
      <c r="U56" s="64">
        <f t="shared" si="26"/>
        <v>0</v>
      </c>
      <c r="V56" s="174">
        <f t="shared" si="27"/>
        <v>0</v>
      </c>
      <c r="W56" s="64">
        <f t="shared" si="15"/>
        <v>0</v>
      </c>
      <c r="X56" s="385">
        <f t="shared" si="28"/>
        <v>0</v>
      </c>
      <c r="Y56" s="79">
        <f t="shared" si="29"/>
        <v>0</v>
      </c>
      <c r="Z56" s="53">
        <f t="shared" si="16"/>
        <v>0</v>
      </c>
      <c r="AA56" s="79">
        <f t="shared" si="30"/>
        <v>0</v>
      </c>
      <c r="AB56" s="53">
        <f t="shared" si="17"/>
        <v>0</v>
      </c>
      <c r="AC56" s="79">
        <f t="shared" si="31"/>
        <v>0</v>
      </c>
      <c r="AD56" s="53">
        <f t="shared" si="18"/>
        <v>0</v>
      </c>
    </row>
    <row r="57" spans="1:30" s="2" customFormat="1" ht="18" hidden="1" customHeight="1">
      <c r="A57" s="84"/>
      <c r="B57" s="22"/>
      <c r="C57" s="146"/>
      <c r="D57" s="162"/>
      <c r="E57" s="159">
        <f>IF(E8&gt;$E$2+9,"",DATEDIF(E8,$E$2+9,"y"))</f>
        <v>118</v>
      </c>
      <c r="F57" s="159">
        <f>IF(F8&gt;$E$2+9,"",DATEDIF(F8,$E$2+9,"y"))</f>
        <v>118</v>
      </c>
      <c r="G57" s="159">
        <f>IF(G8&gt;$E$2+9,"",DATEDIF(G8,$E$2+9,"y"))</f>
        <v>118</v>
      </c>
      <c r="H57" s="159">
        <f>IF(H8&gt;$E$2+9,"",DATEDIF(H8,$E$2+9,"y"))</f>
        <v>118</v>
      </c>
      <c r="I57" s="159">
        <f>IF(I8&gt;$E$2+9,"",DATEDIF(I8,$E$2+9,"y"))</f>
        <v>118</v>
      </c>
      <c r="J57" s="174">
        <f t="shared" si="11"/>
        <v>0</v>
      </c>
      <c r="K57" s="64">
        <f t="shared" si="19"/>
        <v>0</v>
      </c>
      <c r="L57" s="385">
        <f t="shared" si="12"/>
        <v>0</v>
      </c>
      <c r="M57" s="391">
        <f t="shared" si="20"/>
        <v>0</v>
      </c>
      <c r="N57" s="64">
        <f t="shared" si="21"/>
        <v>0</v>
      </c>
      <c r="O57" s="385">
        <f t="shared" si="22"/>
        <v>0</v>
      </c>
      <c r="P57" s="399">
        <f t="shared" si="23"/>
        <v>0</v>
      </c>
      <c r="Q57" s="64">
        <f t="shared" si="13"/>
        <v>0</v>
      </c>
      <c r="R57" s="385">
        <f t="shared" si="24"/>
        <v>0</v>
      </c>
      <c r="S57" s="380">
        <f t="shared" si="25"/>
        <v>0</v>
      </c>
      <c r="T57" s="383">
        <f t="shared" si="14"/>
        <v>0</v>
      </c>
      <c r="U57" s="64">
        <f t="shared" si="26"/>
        <v>0</v>
      </c>
      <c r="V57" s="174">
        <f t="shared" si="27"/>
        <v>0</v>
      </c>
      <c r="W57" s="64">
        <f t="shared" si="15"/>
        <v>0</v>
      </c>
      <c r="X57" s="385">
        <f t="shared" si="28"/>
        <v>0</v>
      </c>
      <c r="Y57" s="79">
        <f t="shared" si="29"/>
        <v>0</v>
      </c>
      <c r="Z57" s="53">
        <f t="shared" si="16"/>
        <v>0</v>
      </c>
      <c r="AA57" s="79">
        <f t="shared" si="30"/>
        <v>0</v>
      </c>
      <c r="AB57" s="53">
        <f t="shared" si="17"/>
        <v>0</v>
      </c>
      <c r="AC57" s="79">
        <f t="shared" si="31"/>
        <v>0</v>
      </c>
      <c r="AD57" s="53">
        <f t="shared" si="18"/>
        <v>0</v>
      </c>
    </row>
    <row r="58" spans="1:30" s="2" customFormat="1" ht="18" hidden="1" customHeight="1">
      <c r="A58" s="84"/>
      <c r="B58" s="22"/>
      <c r="C58" s="146"/>
      <c r="D58" s="162"/>
      <c r="E58" s="159">
        <f>IF(E8&gt;$E$2+10,"",DATEDIF(E8,$E$2+10,"y"))</f>
        <v>118</v>
      </c>
      <c r="F58" s="159">
        <f>IF(F8&gt;$E$2+10,"",DATEDIF(F8,$E$2+10,"y"))</f>
        <v>118</v>
      </c>
      <c r="G58" s="159">
        <f>IF(G8&gt;$E$2+10,"",DATEDIF(G8,$E$2+10,"y"))</f>
        <v>118</v>
      </c>
      <c r="H58" s="159">
        <f>IF(H8&gt;$E$2+10,"",DATEDIF(H8,$E$2+10,"y"))</f>
        <v>118</v>
      </c>
      <c r="I58" s="159">
        <f>IF(I8&gt;$E$2+10,"",DATEDIF(I8,$E$2+10,"y"))</f>
        <v>118</v>
      </c>
      <c r="J58" s="174">
        <f t="shared" si="11"/>
        <v>0</v>
      </c>
      <c r="K58" s="64">
        <f t="shared" si="19"/>
        <v>0</v>
      </c>
      <c r="L58" s="385">
        <f t="shared" si="12"/>
        <v>0</v>
      </c>
      <c r="M58" s="391">
        <f t="shared" si="20"/>
        <v>0</v>
      </c>
      <c r="N58" s="64">
        <f t="shared" si="21"/>
        <v>0</v>
      </c>
      <c r="O58" s="385">
        <f t="shared" si="22"/>
        <v>0</v>
      </c>
      <c r="P58" s="399">
        <f t="shared" si="23"/>
        <v>0</v>
      </c>
      <c r="Q58" s="64">
        <f t="shared" si="13"/>
        <v>0</v>
      </c>
      <c r="R58" s="385">
        <f t="shared" si="24"/>
        <v>0</v>
      </c>
      <c r="S58" s="380">
        <f t="shared" si="25"/>
        <v>0</v>
      </c>
      <c r="T58" s="383">
        <f t="shared" si="14"/>
        <v>0</v>
      </c>
      <c r="U58" s="64">
        <f t="shared" si="26"/>
        <v>0</v>
      </c>
      <c r="V58" s="174">
        <f t="shared" si="27"/>
        <v>0</v>
      </c>
      <c r="W58" s="64">
        <f t="shared" si="15"/>
        <v>0</v>
      </c>
      <c r="X58" s="385">
        <f t="shared" si="28"/>
        <v>0</v>
      </c>
      <c r="Y58" s="79">
        <f t="shared" si="29"/>
        <v>0</v>
      </c>
      <c r="Z58" s="53">
        <f t="shared" si="16"/>
        <v>0</v>
      </c>
      <c r="AA58" s="79">
        <f t="shared" si="30"/>
        <v>0</v>
      </c>
      <c r="AB58" s="53">
        <f t="shared" si="17"/>
        <v>0</v>
      </c>
      <c r="AC58" s="79">
        <f t="shared" si="31"/>
        <v>0</v>
      </c>
      <c r="AD58" s="53">
        <f t="shared" si="18"/>
        <v>0</v>
      </c>
    </row>
    <row r="59" spans="1:30" s="2" customFormat="1" ht="18" hidden="1" customHeight="1">
      <c r="A59" s="84"/>
      <c r="B59" s="22"/>
      <c r="C59" s="146"/>
      <c r="D59" s="162"/>
      <c r="E59" s="159">
        <f>IF(E8&gt;$E$2+11,"",DATEDIF(E8,$E$2+11,"y"))</f>
        <v>118</v>
      </c>
      <c r="F59" s="159">
        <f>IF(F8&gt;$E$2+11,"",DATEDIF(F8,$E$2+11,"y"))</f>
        <v>118</v>
      </c>
      <c r="G59" s="159">
        <f>IF(G8&gt;$E$2+11,"",DATEDIF(G8,$E$2+11,"y"))</f>
        <v>118</v>
      </c>
      <c r="H59" s="159">
        <f>IF(H8&gt;$E$2+11,"",DATEDIF(H8,$E$2+11,"y"))</f>
        <v>118</v>
      </c>
      <c r="I59" s="159">
        <f>IF(I8&gt;$E$2+11,"",DATEDIF(I8,$E$2+11,"y"))</f>
        <v>118</v>
      </c>
      <c r="J59" s="174">
        <f t="shared" si="11"/>
        <v>0</v>
      </c>
      <c r="K59" s="64">
        <f t="shared" si="19"/>
        <v>0</v>
      </c>
      <c r="L59" s="385">
        <f t="shared" si="12"/>
        <v>0</v>
      </c>
      <c r="M59" s="391">
        <f t="shared" si="20"/>
        <v>0</v>
      </c>
      <c r="N59" s="64">
        <f t="shared" si="21"/>
        <v>0</v>
      </c>
      <c r="O59" s="385">
        <f t="shared" si="22"/>
        <v>0</v>
      </c>
      <c r="P59" s="399">
        <f t="shared" si="23"/>
        <v>0</v>
      </c>
      <c r="Q59" s="64">
        <f t="shared" si="13"/>
        <v>0</v>
      </c>
      <c r="R59" s="385">
        <f t="shared" si="24"/>
        <v>0</v>
      </c>
      <c r="S59" s="380">
        <f t="shared" si="25"/>
        <v>0</v>
      </c>
      <c r="T59" s="383">
        <f t="shared" si="14"/>
        <v>0</v>
      </c>
      <c r="U59" s="64">
        <f t="shared" si="26"/>
        <v>0</v>
      </c>
      <c r="V59" s="174">
        <f t="shared" si="27"/>
        <v>0</v>
      </c>
      <c r="W59" s="64">
        <f t="shared" si="15"/>
        <v>0</v>
      </c>
      <c r="X59" s="385">
        <f t="shared" si="28"/>
        <v>0</v>
      </c>
      <c r="Y59" s="79">
        <f t="shared" si="29"/>
        <v>0</v>
      </c>
      <c r="Z59" s="53">
        <f t="shared" si="16"/>
        <v>0</v>
      </c>
      <c r="AA59" s="79">
        <f t="shared" si="30"/>
        <v>0</v>
      </c>
      <c r="AB59" s="53">
        <f t="shared" si="17"/>
        <v>0</v>
      </c>
      <c r="AC59" s="79">
        <f t="shared" si="31"/>
        <v>0</v>
      </c>
      <c r="AD59" s="53">
        <f t="shared" si="18"/>
        <v>0</v>
      </c>
    </row>
    <row r="60" spans="1:30" s="2" customFormat="1" ht="18" hidden="1" customHeight="1">
      <c r="A60" s="84"/>
      <c r="B60" s="22"/>
      <c r="C60" s="146"/>
      <c r="D60" s="162"/>
      <c r="E60" s="159">
        <f>IF(E8&gt;$E$2+12,"",DATEDIF(E8,$E$2+12,"y"))</f>
        <v>118</v>
      </c>
      <c r="F60" s="159">
        <f>IF(F8&gt;$E$2+12,"",DATEDIF(F8,$E$2+12,"y"))</f>
        <v>118</v>
      </c>
      <c r="G60" s="159">
        <f>IF(G8&gt;$E$2+12,"",DATEDIF(G8,$E$2+12,"y"))</f>
        <v>118</v>
      </c>
      <c r="H60" s="159">
        <f>IF(H8&gt;$E$2+12,"",DATEDIF(H8,$E$2+12,"y"))</f>
        <v>118</v>
      </c>
      <c r="I60" s="159">
        <f>IF(I8&gt;$E$2+12,"",DATEDIF(I8,$E$2+12,"y"))</f>
        <v>118</v>
      </c>
      <c r="J60" s="174">
        <f t="shared" si="11"/>
        <v>0</v>
      </c>
      <c r="K60" s="64">
        <f t="shared" si="19"/>
        <v>0</v>
      </c>
      <c r="L60" s="385">
        <f t="shared" si="12"/>
        <v>0</v>
      </c>
      <c r="M60" s="391">
        <f t="shared" si="20"/>
        <v>0</v>
      </c>
      <c r="N60" s="64">
        <f t="shared" si="21"/>
        <v>0</v>
      </c>
      <c r="O60" s="385">
        <f t="shared" si="22"/>
        <v>0</v>
      </c>
      <c r="P60" s="399">
        <f t="shared" si="23"/>
        <v>0</v>
      </c>
      <c r="Q60" s="64">
        <f t="shared" si="13"/>
        <v>0</v>
      </c>
      <c r="R60" s="385">
        <f t="shared" si="24"/>
        <v>0</v>
      </c>
      <c r="S60" s="380">
        <f t="shared" si="25"/>
        <v>0</v>
      </c>
      <c r="T60" s="383">
        <f t="shared" si="14"/>
        <v>0</v>
      </c>
      <c r="U60" s="64">
        <f t="shared" si="26"/>
        <v>0</v>
      </c>
      <c r="V60" s="174">
        <f t="shared" si="27"/>
        <v>0</v>
      </c>
      <c r="W60" s="64">
        <f t="shared" si="15"/>
        <v>0</v>
      </c>
      <c r="X60" s="385">
        <f t="shared" si="28"/>
        <v>0</v>
      </c>
      <c r="Y60" s="79">
        <f t="shared" si="29"/>
        <v>0</v>
      </c>
      <c r="Z60" s="53">
        <f t="shared" si="16"/>
        <v>0</v>
      </c>
      <c r="AA60" s="79">
        <f t="shared" si="30"/>
        <v>0</v>
      </c>
      <c r="AB60" s="53">
        <f t="shared" si="17"/>
        <v>0</v>
      </c>
      <c r="AC60" s="79">
        <f t="shared" si="31"/>
        <v>0</v>
      </c>
      <c r="AD60" s="53">
        <f t="shared" si="18"/>
        <v>0</v>
      </c>
    </row>
    <row r="61" spans="1:30" s="2" customFormat="1" ht="18" hidden="1" customHeight="1">
      <c r="A61" s="84"/>
      <c r="B61" s="22"/>
      <c r="C61" s="146"/>
      <c r="D61" s="162"/>
      <c r="E61" s="159">
        <f>IF(E8&gt;$E$2+13,"",DATEDIF(E8,$E$2+13,"y"))</f>
        <v>118</v>
      </c>
      <c r="F61" s="159">
        <f>IF(F8&gt;$E$2+13,"",DATEDIF(F8,$E$2+13,"y"))</f>
        <v>118</v>
      </c>
      <c r="G61" s="159">
        <f>IF(G8&gt;$E$2+13,"",DATEDIF(G8,$E$2+13,"y"))</f>
        <v>118</v>
      </c>
      <c r="H61" s="159">
        <f>IF(H8&gt;$E$2+13,"",DATEDIF(H8,$E$2+13,"y"))</f>
        <v>118</v>
      </c>
      <c r="I61" s="159">
        <f>IF(I8&gt;$E$2+13,"",DATEDIF(I8,$E$2+13,"y"))</f>
        <v>118</v>
      </c>
      <c r="J61" s="174">
        <f t="shared" si="11"/>
        <v>0</v>
      </c>
      <c r="K61" s="64">
        <f t="shared" si="19"/>
        <v>0</v>
      </c>
      <c r="L61" s="385">
        <f t="shared" si="12"/>
        <v>0</v>
      </c>
      <c r="M61" s="391">
        <f t="shared" si="20"/>
        <v>0</v>
      </c>
      <c r="N61" s="64">
        <f t="shared" si="21"/>
        <v>0</v>
      </c>
      <c r="O61" s="385">
        <f t="shared" si="22"/>
        <v>0</v>
      </c>
      <c r="P61" s="399">
        <f t="shared" si="23"/>
        <v>0</v>
      </c>
      <c r="Q61" s="64">
        <f t="shared" si="13"/>
        <v>0</v>
      </c>
      <c r="R61" s="385">
        <f t="shared" si="24"/>
        <v>0</v>
      </c>
      <c r="S61" s="380">
        <f t="shared" si="25"/>
        <v>0</v>
      </c>
      <c r="T61" s="383">
        <f t="shared" si="14"/>
        <v>0</v>
      </c>
      <c r="U61" s="64">
        <f t="shared" si="26"/>
        <v>0</v>
      </c>
      <c r="V61" s="174">
        <f t="shared" si="27"/>
        <v>0</v>
      </c>
      <c r="W61" s="64">
        <f t="shared" si="15"/>
        <v>0</v>
      </c>
      <c r="X61" s="385">
        <f t="shared" si="28"/>
        <v>0</v>
      </c>
      <c r="Y61" s="79">
        <f t="shared" si="29"/>
        <v>0</v>
      </c>
      <c r="Z61" s="53">
        <f t="shared" si="16"/>
        <v>0</v>
      </c>
      <c r="AA61" s="79">
        <f t="shared" si="30"/>
        <v>0</v>
      </c>
      <c r="AB61" s="53">
        <f t="shared" si="17"/>
        <v>0</v>
      </c>
      <c r="AC61" s="79">
        <f t="shared" si="31"/>
        <v>0</v>
      </c>
      <c r="AD61" s="53">
        <f t="shared" si="18"/>
        <v>0</v>
      </c>
    </row>
    <row r="62" spans="1:30" s="2" customFormat="1" ht="18" hidden="1" customHeight="1">
      <c r="A62" s="84"/>
      <c r="B62" s="22"/>
      <c r="C62" s="146"/>
      <c r="D62" s="162"/>
      <c r="E62" s="159">
        <f>IF(E8&gt;$E$2+14,"",DATEDIF(E8,$E$2+14,"y"))</f>
        <v>118</v>
      </c>
      <c r="F62" s="159">
        <f>IF(F8&gt;$E$2+14,"",DATEDIF(F8,$E$2+14,"y"))</f>
        <v>118</v>
      </c>
      <c r="G62" s="159">
        <f>IF(G8&gt;$E$2+14,"",DATEDIF(G8,$E$2+14,"y"))</f>
        <v>118</v>
      </c>
      <c r="H62" s="159">
        <f>IF(H8&gt;$E$2+14,"",DATEDIF(H8,$E$2+14,"y"))</f>
        <v>118</v>
      </c>
      <c r="I62" s="159">
        <f>IF(I8&gt;$E$2+14,"",DATEDIF(I8,$E$2+14,"y"))</f>
        <v>118</v>
      </c>
      <c r="J62" s="174">
        <f t="shared" si="11"/>
        <v>0</v>
      </c>
      <c r="K62" s="64">
        <f t="shared" si="19"/>
        <v>0</v>
      </c>
      <c r="L62" s="385">
        <f t="shared" si="12"/>
        <v>0</v>
      </c>
      <c r="M62" s="391">
        <f t="shared" si="20"/>
        <v>0</v>
      </c>
      <c r="N62" s="64">
        <f t="shared" si="21"/>
        <v>0</v>
      </c>
      <c r="O62" s="385">
        <f t="shared" si="22"/>
        <v>0</v>
      </c>
      <c r="P62" s="399">
        <f t="shared" si="23"/>
        <v>0</v>
      </c>
      <c r="Q62" s="64">
        <f t="shared" si="13"/>
        <v>0</v>
      </c>
      <c r="R62" s="385">
        <f t="shared" si="24"/>
        <v>0</v>
      </c>
      <c r="S62" s="380">
        <f t="shared" si="25"/>
        <v>0</v>
      </c>
      <c r="T62" s="383">
        <f t="shared" si="14"/>
        <v>0</v>
      </c>
      <c r="U62" s="64">
        <f t="shared" si="26"/>
        <v>0</v>
      </c>
      <c r="V62" s="174">
        <f t="shared" si="27"/>
        <v>0</v>
      </c>
      <c r="W62" s="64">
        <f t="shared" si="15"/>
        <v>0</v>
      </c>
      <c r="X62" s="385">
        <f t="shared" si="28"/>
        <v>0</v>
      </c>
      <c r="Y62" s="79">
        <f t="shared" si="29"/>
        <v>0</v>
      </c>
      <c r="Z62" s="53">
        <f t="shared" si="16"/>
        <v>0</v>
      </c>
      <c r="AA62" s="79">
        <f t="shared" si="30"/>
        <v>0</v>
      </c>
      <c r="AB62" s="53">
        <f t="shared" si="17"/>
        <v>0</v>
      </c>
      <c r="AC62" s="79">
        <f t="shared" si="31"/>
        <v>0</v>
      </c>
      <c r="AD62" s="53">
        <f t="shared" si="18"/>
        <v>0</v>
      </c>
    </row>
    <row r="63" spans="1:30" s="2" customFormat="1" ht="18" hidden="1" customHeight="1">
      <c r="A63" s="84"/>
      <c r="B63" s="22"/>
      <c r="C63" s="146"/>
      <c r="D63" s="162"/>
      <c r="E63" s="159">
        <f>IF(E8&gt;$E$2+15,"",DATEDIF(E8,$E$2+15,"y"))</f>
        <v>118</v>
      </c>
      <c r="F63" s="159">
        <f>IF(F8&gt;$E$2+15,"",DATEDIF(F8,$E$2+15,"y"))</f>
        <v>118</v>
      </c>
      <c r="G63" s="159">
        <f>IF(G8&gt;$E$2+15,"",DATEDIF(G8,$E$2+15,"y"))</f>
        <v>118</v>
      </c>
      <c r="H63" s="159">
        <f>IF(H8&gt;$E$2+15,"",DATEDIF(H8,$E$2+15,"y"))</f>
        <v>118</v>
      </c>
      <c r="I63" s="159">
        <f>IF(I8&gt;$E$2+15,"",DATEDIF(I8,$E$2+15,"y"))</f>
        <v>118</v>
      </c>
      <c r="J63" s="174">
        <f t="shared" si="11"/>
        <v>0</v>
      </c>
      <c r="K63" s="64">
        <f t="shared" si="19"/>
        <v>0</v>
      </c>
      <c r="L63" s="385">
        <f t="shared" si="12"/>
        <v>0</v>
      </c>
      <c r="M63" s="391">
        <f t="shared" si="20"/>
        <v>0</v>
      </c>
      <c r="N63" s="64">
        <f t="shared" si="21"/>
        <v>0</v>
      </c>
      <c r="O63" s="385">
        <f t="shared" si="22"/>
        <v>0</v>
      </c>
      <c r="P63" s="399">
        <f t="shared" si="23"/>
        <v>0</v>
      </c>
      <c r="Q63" s="64">
        <f t="shared" si="13"/>
        <v>0</v>
      </c>
      <c r="R63" s="385">
        <f t="shared" si="24"/>
        <v>0</v>
      </c>
      <c r="S63" s="380">
        <f t="shared" si="25"/>
        <v>0</v>
      </c>
      <c r="T63" s="383">
        <f t="shared" si="14"/>
        <v>0</v>
      </c>
      <c r="U63" s="64">
        <f t="shared" si="26"/>
        <v>0</v>
      </c>
      <c r="V63" s="174">
        <f t="shared" si="27"/>
        <v>0</v>
      </c>
      <c r="W63" s="64">
        <f t="shared" si="15"/>
        <v>0</v>
      </c>
      <c r="X63" s="385">
        <f t="shared" si="28"/>
        <v>0</v>
      </c>
      <c r="Y63" s="79">
        <f t="shared" si="29"/>
        <v>0</v>
      </c>
      <c r="Z63" s="53">
        <f t="shared" si="16"/>
        <v>0</v>
      </c>
      <c r="AA63" s="79">
        <f t="shared" si="30"/>
        <v>0</v>
      </c>
      <c r="AB63" s="53">
        <f t="shared" si="17"/>
        <v>0</v>
      </c>
      <c r="AC63" s="79">
        <f t="shared" si="31"/>
        <v>0</v>
      </c>
      <c r="AD63" s="53">
        <f t="shared" si="18"/>
        <v>0</v>
      </c>
    </row>
    <row r="64" spans="1:30" s="2" customFormat="1" ht="18" hidden="1" customHeight="1">
      <c r="A64" s="84"/>
      <c r="B64" s="22"/>
      <c r="C64" s="146"/>
      <c r="D64" s="162"/>
      <c r="E64" s="159">
        <f>IF(E8&gt;$E$2+16,"",DATEDIF(E8,$E$2+16,"y"))</f>
        <v>118</v>
      </c>
      <c r="F64" s="159">
        <f>IF(F8&gt;$E$2+16,"",DATEDIF(F8,$E$2+16,"y"))</f>
        <v>118</v>
      </c>
      <c r="G64" s="159">
        <f>IF(G8&gt;$E$2+16,"",DATEDIF(G8,$E$2+16,"y"))</f>
        <v>118</v>
      </c>
      <c r="H64" s="159">
        <f>IF(H8&gt;$E$2+16,"",DATEDIF(H8,$E$2+16,"y"))</f>
        <v>118</v>
      </c>
      <c r="I64" s="159">
        <f>IF(I8&gt;$E$2+16,"",DATEDIF(I8,$E$2+16,"y"))</f>
        <v>118</v>
      </c>
      <c r="J64" s="174">
        <f t="shared" si="11"/>
        <v>0</v>
      </c>
      <c r="K64" s="64">
        <f t="shared" si="19"/>
        <v>0</v>
      </c>
      <c r="L64" s="385">
        <f t="shared" si="12"/>
        <v>0</v>
      </c>
      <c r="M64" s="391">
        <f t="shared" si="20"/>
        <v>0</v>
      </c>
      <c r="N64" s="64">
        <f t="shared" si="21"/>
        <v>0</v>
      </c>
      <c r="O64" s="385">
        <f t="shared" si="22"/>
        <v>0</v>
      </c>
      <c r="P64" s="399">
        <f t="shared" si="23"/>
        <v>0</v>
      </c>
      <c r="Q64" s="64">
        <f t="shared" si="13"/>
        <v>0</v>
      </c>
      <c r="R64" s="385">
        <f t="shared" si="24"/>
        <v>0</v>
      </c>
      <c r="S64" s="380">
        <f t="shared" si="25"/>
        <v>0</v>
      </c>
      <c r="T64" s="383">
        <f t="shared" si="14"/>
        <v>0</v>
      </c>
      <c r="U64" s="64">
        <f t="shared" si="26"/>
        <v>0</v>
      </c>
      <c r="V64" s="174">
        <f t="shared" si="27"/>
        <v>0</v>
      </c>
      <c r="W64" s="64">
        <f t="shared" si="15"/>
        <v>0</v>
      </c>
      <c r="X64" s="385">
        <f t="shared" si="28"/>
        <v>0</v>
      </c>
      <c r="Y64" s="79">
        <f t="shared" si="29"/>
        <v>0</v>
      </c>
      <c r="Z64" s="53">
        <f t="shared" si="16"/>
        <v>0</v>
      </c>
      <c r="AA64" s="79">
        <f t="shared" si="30"/>
        <v>0</v>
      </c>
      <c r="AB64" s="53">
        <f t="shared" si="17"/>
        <v>0</v>
      </c>
      <c r="AC64" s="79">
        <f t="shared" si="31"/>
        <v>0</v>
      </c>
      <c r="AD64" s="53">
        <f t="shared" si="18"/>
        <v>0</v>
      </c>
    </row>
    <row r="65" spans="1:31" s="2" customFormat="1" ht="18" hidden="1" customHeight="1">
      <c r="A65" s="84"/>
      <c r="B65" s="22"/>
      <c r="C65" s="146"/>
      <c r="D65" s="162"/>
      <c r="E65" s="159">
        <f>IF(E8&gt;$E$2+17,"",DATEDIF(E8,$E$2+17,"y"))</f>
        <v>118</v>
      </c>
      <c r="F65" s="159">
        <f>IF(F8&gt;$E$2+17,"",DATEDIF(F8,$E$2+17,"y"))</f>
        <v>118</v>
      </c>
      <c r="G65" s="159">
        <f>IF(G8&gt;$E$2+17,"",DATEDIF(G8,$E$2+17,"y"))</f>
        <v>118</v>
      </c>
      <c r="H65" s="159">
        <f>IF(H8&gt;$E$2+17,"",DATEDIF(H8,$E$2+17,"y"))</f>
        <v>118</v>
      </c>
      <c r="I65" s="159">
        <f>IF(I8&gt;$E$2+17,"",DATEDIF(I8,$E$2+17,"y"))</f>
        <v>118</v>
      </c>
      <c r="J65" s="174">
        <f t="shared" si="11"/>
        <v>0</v>
      </c>
      <c r="K65" s="64">
        <f t="shared" si="19"/>
        <v>0</v>
      </c>
      <c r="L65" s="385">
        <f t="shared" si="12"/>
        <v>0</v>
      </c>
      <c r="M65" s="391">
        <f t="shared" si="20"/>
        <v>0</v>
      </c>
      <c r="N65" s="64">
        <f t="shared" si="21"/>
        <v>0</v>
      </c>
      <c r="O65" s="385">
        <f t="shared" si="22"/>
        <v>0</v>
      </c>
      <c r="P65" s="399">
        <f t="shared" si="23"/>
        <v>0</v>
      </c>
      <c r="Q65" s="64">
        <f t="shared" si="13"/>
        <v>0</v>
      </c>
      <c r="R65" s="385">
        <f t="shared" si="24"/>
        <v>0</v>
      </c>
      <c r="S65" s="380">
        <f t="shared" si="25"/>
        <v>0</v>
      </c>
      <c r="T65" s="383">
        <f t="shared" si="14"/>
        <v>0</v>
      </c>
      <c r="U65" s="64">
        <f t="shared" si="26"/>
        <v>0</v>
      </c>
      <c r="V65" s="174">
        <f t="shared" si="27"/>
        <v>0</v>
      </c>
      <c r="W65" s="64">
        <f t="shared" si="15"/>
        <v>0</v>
      </c>
      <c r="X65" s="385">
        <f t="shared" si="28"/>
        <v>0</v>
      </c>
      <c r="Y65" s="79">
        <f t="shared" si="29"/>
        <v>0</v>
      </c>
      <c r="Z65" s="53">
        <f t="shared" si="16"/>
        <v>0</v>
      </c>
      <c r="AA65" s="79">
        <f t="shared" si="30"/>
        <v>0</v>
      </c>
      <c r="AB65" s="53">
        <f t="shared" si="17"/>
        <v>0</v>
      </c>
      <c r="AC65" s="79">
        <f t="shared" si="31"/>
        <v>0</v>
      </c>
      <c r="AD65" s="53">
        <f t="shared" si="18"/>
        <v>0</v>
      </c>
    </row>
    <row r="66" spans="1:31" s="2" customFormat="1" ht="18" hidden="1" customHeight="1">
      <c r="A66" s="84"/>
      <c r="B66" s="22"/>
      <c r="C66" s="146"/>
      <c r="D66" s="162"/>
      <c r="E66" s="159">
        <f>IF(E8&gt;$E$2+18,"",DATEDIF(E8,$E$2+18,"y"))</f>
        <v>118</v>
      </c>
      <c r="F66" s="159">
        <f>IF(F8&gt;$E$2+18,"",DATEDIF(F8,$E$2+18,"y"))</f>
        <v>118</v>
      </c>
      <c r="G66" s="159">
        <f>IF(G8&gt;$E$2+18,"",DATEDIF(G8,$E$2+18,"y"))</f>
        <v>118</v>
      </c>
      <c r="H66" s="159">
        <f>IF(H8&gt;$E$2+18,"",DATEDIF(H8,$E$2+18,"y"))</f>
        <v>118</v>
      </c>
      <c r="I66" s="159">
        <f>IF(I8&gt;$E$2+18,"",DATEDIF(I8,$E$2+18,"y"))</f>
        <v>118</v>
      </c>
      <c r="J66" s="174">
        <f t="shared" si="11"/>
        <v>0</v>
      </c>
      <c r="K66" s="64">
        <f t="shared" si="19"/>
        <v>0</v>
      </c>
      <c r="L66" s="385">
        <f t="shared" si="12"/>
        <v>0</v>
      </c>
      <c r="M66" s="391">
        <f t="shared" si="20"/>
        <v>0</v>
      </c>
      <c r="N66" s="64">
        <f t="shared" si="21"/>
        <v>0</v>
      </c>
      <c r="O66" s="385">
        <f t="shared" si="22"/>
        <v>0</v>
      </c>
      <c r="P66" s="399">
        <f t="shared" si="23"/>
        <v>0</v>
      </c>
      <c r="Q66" s="64">
        <f t="shared" si="13"/>
        <v>0</v>
      </c>
      <c r="R66" s="385">
        <f t="shared" si="24"/>
        <v>0</v>
      </c>
      <c r="S66" s="380">
        <f t="shared" si="25"/>
        <v>0</v>
      </c>
      <c r="T66" s="383">
        <f t="shared" si="14"/>
        <v>0</v>
      </c>
      <c r="U66" s="64">
        <f t="shared" si="26"/>
        <v>0</v>
      </c>
      <c r="V66" s="174">
        <f t="shared" si="27"/>
        <v>0</v>
      </c>
      <c r="W66" s="64">
        <f t="shared" si="15"/>
        <v>0</v>
      </c>
      <c r="X66" s="385">
        <f t="shared" si="28"/>
        <v>0</v>
      </c>
      <c r="Y66" s="79">
        <f t="shared" si="29"/>
        <v>0</v>
      </c>
      <c r="Z66" s="53">
        <f t="shared" si="16"/>
        <v>0</v>
      </c>
      <c r="AA66" s="79">
        <f t="shared" si="30"/>
        <v>0</v>
      </c>
      <c r="AB66" s="53">
        <f t="shared" si="17"/>
        <v>0</v>
      </c>
      <c r="AC66" s="79">
        <f t="shared" si="31"/>
        <v>0</v>
      </c>
      <c r="AD66" s="53">
        <f t="shared" si="18"/>
        <v>0</v>
      </c>
    </row>
    <row r="67" spans="1:31" s="2" customFormat="1" ht="18" hidden="1" customHeight="1">
      <c r="A67" s="84"/>
      <c r="B67" s="22"/>
      <c r="C67" s="146"/>
      <c r="D67" s="162"/>
      <c r="E67" s="159">
        <f>IF(E8&gt;$E$2+19,"",DATEDIF(E8,$E$2+19,"y"))</f>
        <v>118</v>
      </c>
      <c r="F67" s="159">
        <f>IF(F8&gt;$E$2+19,"",DATEDIF(F8,$E$2+19,"y"))</f>
        <v>118</v>
      </c>
      <c r="G67" s="159">
        <f>IF(G8&gt;$E$2+19,"",DATEDIF(G8,$E$2+19,"y"))</f>
        <v>118</v>
      </c>
      <c r="H67" s="159">
        <f>IF(H8&gt;$E$2+19,"",DATEDIF(H8,$E$2+19,"y"))</f>
        <v>118</v>
      </c>
      <c r="I67" s="159">
        <f>IF(I8&gt;$E$2+19,"",DATEDIF(I8,$E$2+19,"y"))</f>
        <v>118</v>
      </c>
      <c r="J67" s="174">
        <f t="shared" si="11"/>
        <v>0</v>
      </c>
      <c r="K67" s="64">
        <f t="shared" si="19"/>
        <v>0</v>
      </c>
      <c r="L67" s="385">
        <f t="shared" si="12"/>
        <v>0</v>
      </c>
      <c r="M67" s="391">
        <f t="shared" si="20"/>
        <v>0</v>
      </c>
      <c r="N67" s="64">
        <f t="shared" si="21"/>
        <v>0</v>
      </c>
      <c r="O67" s="385">
        <f t="shared" si="22"/>
        <v>0</v>
      </c>
      <c r="P67" s="399">
        <f t="shared" si="23"/>
        <v>0</v>
      </c>
      <c r="Q67" s="64">
        <f t="shared" si="13"/>
        <v>0</v>
      </c>
      <c r="R67" s="385">
        <f t="shared" si="24"/>
        <v>0</v>
      </c>
      <c r="S67" s="380">
        <f t="shared" si="25"/>
        <v>0</v>
      </c>
      <c r="T67" s="383">
        <f t="shared" si="14"/>
        <v>0</v>
      </c>
      <c r="U67" s="64">
        <f t="shared" si="26"/>
        <v>0</v>
      </c>
      <c r="V67" s="174">
        <f t="shared" si="27"/>
        <v>0</v>
      </c>
      <c r="W67" s="64">
        <f t="shared" si="15"/>
        <v>0</v>
      </c>
      <c r="X67" s="385">
        <f t="shared" si="28"/>
        <v>0</v>
      </c>
      <c r="Y67" s="79">
        <f t="shared" si="29"/>
        <v>0</v>
      </c>
      <c r="Z67" s="53">
        <f t="shared" si="16"/>
        <v>0</v>
      </c>
      <c r="AA67" s="79">
        <f t="shared" si="30"/>
        <v>0</v>
      </c>
      <c r="AB67" s="53">
        <f t="shared" si="17"/>
        <v>0</v>
      </c>
      <c r="AC67" s="79">
        <f t="shared" si="31"/>
        <v>0</v>
      </c>
      <c r="AD67" s="53">
        <f t="shared" si="18"/>
        <v>0</v>
      </c>
    </row>
    <row r="68" spans="1:31" s="2" customFormat="1" ht="18" hidden="1" customHeight="1">
      <c r="A68" s="84"/>
      <c r="B68" s="22"/>
      <c r="C68" s="146"/>
      <c r="D68" s="162"/>
      <c r="E68" s="159">
        <f>IF(E8&gt;$E$2+20,"",DATEDIF(E8,$E$2+20,"y"))</f>
        <v>118</v>
      </c>
      <c r="F68" s="159">
        <f>IF(F8&gt;$E$2+20,"",DATEDIF(F8,$E$2+20,"y"))</f>
        <v>118</v>
      </c>
      <c r="G68" s="159">
        <f>IF(G8&gt;$E$2+20,"",DATEDIF(G8,$E$2+20,"y"))</f>
        <v>118</v>
      </c>
      <c r="H68" s="159">
        <f>IF(H8&gt;$E$2+20,"",DATEDIF(H8,$E$2+20,"y"))</f>
        <v>118</v>
      </c>
      <c r="I68" s="159">
        <f>IF(I8&gt;$E$2+20,"",DATEDIF(I8,$E$2+20,"y"))</f>
        <v>118</v>
      </c>
      <c r="J68" s="174">
        <f t="shared" si="11"/>
        <v>0</v>
      </c>
      <c r="K68" s="64">
        <f t="shared" si="19"/>
        <v>0</v>
      </c>
      <c r="L68" s="385">
        <f t="shared" si="12"/>
        <v>0</v>
      </c>
      <c r="M68" s="391">
        <f t="shared" si="20"/>
        <v>0</v>
      </c>
      <c r="N68" s="64">
        <f t="shared" si="21"/>
        <v>0</v>
      </c>
      <c r="O68" s="385">
        <f t="shared" si="22"/>
        <v>0</v>
      </c>
      <c r="P68" s="399">
        <f t="shared" si="23"/>
        <v>0</v>
      </c>
      <c r="Q68" s="64">
        <f t="shared" si="13"/>
        <v>0</v>
      </c>
      <c r="R68" s="385">
        <f t="shared" si="24"/>
        <v>0</v>
      </c>
      <c r="S68" s="380">
        <f t="shared" si="25"/>
        <v>0</v>
      </c>
      <c r="T68" s="383">
        <f t="shared" si="14"/>
        <v>0</v>
      </c>
      <c r="U68" s="64">
        <f t="shared" si="26"/>
        <v>0</v>
      </c>
      <c r="V68" s="174">
        <f t="shared" si="27"/>
        <v>0</v>
      </c>
      <c r="W68" s="64">
        <f t="shared" si="15"/>
        <v>0</v>
      </c>
      <c r="X68" s="385">
        <f t="shared" si="28"/>
        <v>0</v>
      </c>
      <c r="Y68" s="79">
        <f t="shared" si="29"/>
        <v>0</v>
      </c>
      <c r="Z68" s="53">
        <f t="shared" si="16"/>
        <v>0</v>
      </c>
      <c r="AA68" s="79">
        <f t="shared" si="30"/>
        <v>0</v>
      </c>
      <c r="AB68" s="53">
        <f t="shared" si="17"/>
        <v>0</v>
      </c>
      <c r="AC68" s="79">
        <f t="shared" si="31"/>
        <v>0</v>
      </c>
      <c r="AD68" s="53">
        <f t="shared" si="18"/>
        <v>0</v>
      </c>
    </row>
    <row r="69" spans="1:31" s="2" customFormat="1" ht="18" hidden="1" customHeight="1">
      <c r="A69" s="84"/>
      <c r="B69" s="22"/>
      <c r="C69" s="146"/>
      <c r="D69" s="162"/>
      <c r="E69" s="159">
        <f>IF(E8&gt;$E$2+21,"",DATEDIF(E8,$E$2+21,"y"))</f>
        <v>118</v>
      </c>
      <c r="F69" s="159">
        <f>IF(F8&gt;$E$2+21,"",DATEDIF(F8,$E$2+21,"y"))</f>
        <v>118</v>
      </c>
      <c r="G69" s="159">
        <f>IF(G8&gt;$E$2+21,"",DATEDIF(G8,$E$2+21,"y"))</f>
        <v>118</v>
      </c>
      <c r="H69" s="159">
        <f>IF(H8&gt;$E$2+21,"",DATEDIF(H8,$E$2+21,"y"))</f>
        <v>118</v>
      </c>
      <c r="I69" s="159">
        <f>IF(I8&gt;$E$2+21,"",DATEDIF(I8,$E$2+21,"y"))</f>
        <v>118</v>
      </c>
      <c r="J69" s="174">
        <f t="shared" si="11"/>
        <v>0</v>
      </c>
      <c r="K69" s="64">
        <f t="shared" si="19"/>
        <v>0</v>
      </c>
      <c r="L69" s="385">
        <f t="shared" si="12"/>
        <v>0</v>
      </c>
      <c r="M69" s="391">
        <f t="shared" si="20"/>
        <v>0</v>
      </c>
      <c r="N69" s="64">
        <f t="shared" si="21"/>
        <v>0</v>
      </c>
      <c r="O69" s="385">
        <f t="shared" si="22"/>
        <v>0</v>
      </c>
      <c r="P69" s="399">
        <f t="shared" si="23"/>
        <v>0</v>
      </c>
      <c r="Q69" s="64">
        <f t="shared" si="13"/>
        <v>0</v>
      </c>
      <c r="R69" s="385">
        <f t="shared" si="24"/>
        <v>0</v>
      </c>
      <c r="S69" s="380">
        <f t="shared" si="25"/>
        <v>0</v>
      </c>
      <c r="T69" s="383">
        <f t="shared" si="14"/>
        <v>0</v>
      </c>
      <c r="U69" s="64">
        <f t="shared" si="26"/>
        <v>0</v>
      </c>
      <c r="V69" s="174">
        <f t="shared" si="27"/>
        <v>0</v>
      </c>
      <c r="W69" s="64">
        <f t="shared" si="15"/>
        <v>0</v>
      </c>
      <c r="X69" s="385">
        <f t="shared" si="28"/>
        <v>0</v>
      </c>
      <c r="Y69" s="79">
        <f t="shared" si="29"/>
        <v>0</v>
      </c>
      <c r="Z69" s="53">
        <f t="shared" si="16"/>
        <v>0</v>
      </c>
      <c r="AA69" s="79">
        <f t="shared" si="30"/>
        <v>0</v>
      </c>
      <c r="AB69" s="53">
        <f t="shared" si="17"/>
        <v>0</v>
      </c>
      <c r="AC69" s="79">
        <f t="shared" si="31"/>
        <v>0</v>
      </c>
      <c r="AD69" s="53">
        <f t="shared" si="18"/>
        <v>0</v>
      </c>
    </row>
    <row r="70" spans="1:31" s="2" customFormat="1" ht="18" hidden="1" customHeight="1">
      <c r="A70" s="84"/>
      <c r="B70" s="22"/>
      <c r="C70" s="146"/>
      <c r="D70" s="162"/>
      <c r="E70" s="159">
        <f>IF(E8&gt;$E$2+22,"",DATEDIF(E8,$E$2+22,"y"))</f>
        <v>118</v>
      </c>
      <c r="F70" s="159">
        <f>IF(F8&gt;$E$2+22,"",DATEDIF(F8,$E$2+22,"y"))</f>
        <v>118</v>
      </c>
      <c r="G70" s="159">
        <f>IF(G8&gt;$E$2+22,"",DATEDIF(G8,$E$2+22,"y"))</f>
        <v>118</v>
      </c>
      <c r="H70" s="159">
        <f>IF(H8&gt;$E$2+22,"",DATEDIF(H8,$E$2+22,"y"))</f>
        <v>118</v>
      </c>
      <c r="I70" s="159">
        <f>IF(I8&gt;$E$2+22,"",DATEDIF(I8,$E$2+22,"y"))</f>
        <v>118</v>
      </c>
      <c r="J70" s="174">
        <f t="shared" si="11"/>
        <v>0</v>
      </c>
      <c r="K70" s="64">
        <f t="shared" si="19"/>
        <v>0</v>
      </c>
      <c r="L70" s="385">
        <f t="shared" si="12"/>
        <v>0</v>
      </c>
      <c r="M70" s="391">
        <f t="shared" si="20"/>
        <v>0</v>
      </c>
      <c r="N70" s="64">
        <f t="shared" si="21"/>
        <v>0</v>
      </c>
      <c r="O70" s="385">
        <f t="shared" si="22"/>
        <v>0</v>
      </c>
      <c r="P70" s="399">
        <f t="shared" si="23"/>
        <v>0</v>
      </c>
      <c r="Q70" s="64">
        <f t="shared" si="13"/>
        <v>0</v>
      </c>
      <c r="R70" s="385">
        <f t="shared" si="24"/>
        <v>0</v>
      </c>
      <c r="S70" s="380">
        <f t="shared" si="25"/>
        <v>0</v>
      </c>
      <c r="T70" s="383">
        <f t="shared" si="14"/>
        <v>0</v>
      </c>
      <c r="U70" s="64">
        <f t="shared" si="26"/>
        <v>0</v>
      </c>
      <c r="V70" s="174">
        <f t="shared" si="27"/>
        <v>0</v>
      </c>
      <c r="W70" s="64">
        <f t="shared" si="15"/>
        <v>0</v>
      </c>
      <c r="X70" s="385">
        <f t="shared" si="28"/>
        <v>0</v>
      </c>
      <c r="Y70" s="79">
        <f t="shared" si="29"/>
        <v>0</v>
      </c>
      <c r="Z70" s="53">
        <f t="shared" si="16"/>
        <v>0</v>
      </c>
      <c r="AA70" s="79">
        <f t="shared" si="30"/>
        <v>0</v>
      </c>
      <c r="AB70" s="53">
        <f t="shared" si="17"/>
        <v>0</v>
      </c>
      <c r="AC70" s="79">
        <f t="shared" si="31"/>
        <v>0</v>
      </c>
      <c r="AD70" s="53">
        <f t="shared" si="18"/>
        <v>0</v>
      </c>
    </row>
    <row r="71" spans="1:31" s="2" customFormat="1" ht="18" hidden="1" customHeight="1">
      <c r="A71" s="84"/>
      <c r="B71" s="22"/>
      <c r="C71" s="146"/>
      <c r="D71" s="162"/>
      <c r="E71" s="159">
        <f>IF(E8&gt;$E$2+23,"",DATEDIF(E8,$E$2+23,"y"))</f>
        <v>118</v>
      </c>
      <c r="F71" s="159">
        <f>IF(F8&gt;$E$2+23,"",DATEDIF(F8,$E$2+23,"y"))</f>
        <v>118</v>
      </c>
      <c r="G71" s="159">
        <f>IF(G8&gt;$E$2+23,"",DATEDIF(G8,$E$2+23,"y"))</f>
        <v>118</v>
      </c>
      <c r="H71" s="159">
        <f>IF(H8&gt;$E$2+23,"",DATEDIF(H8,$E$2+23,"y"))</f>
        <v>118</v>
      </c>
      <c r="I71" s="159">
        <f>IF(I8&gt;$E$2+23,"",DATEDIF(I8,$E$2+23,"y"))</f>
        <v>118</v>
      </c>
      <c r="J71" s="174">
        <f t="shared" si="11"/>
        <v>0</v>
      </c>
      <c r="K71" s="64">
        <f t="shared" si="19"/>
        <v>0</v>
      </c>
      <c r="L71" s="385">
        <f t="shared" si="12"/>
        <v>0</v>
      </c>
      <c r="M71" s="391">
        <f t="shared" si="20"/>
        <v>0</v>
      </c>
      <c r="N71" s="64">
        <f t="shared" si="21"/>
        <v>0</v>
      </c>
      <c r="O71" s="385">
        <f t="shared" si="22"/>
        <v>0</v>
      </c>
      <c r="P71" s="399">
        <f t="shared" si="23"/>
        <v>0</v>
      </c>
      <c r="Q71" s="64">
        <f t="shared" si="13"/>
        <v>0</v>
      </c>
      <c r="R71" s="385">
        <f t="shared" si="24"/>
        <v>0</v>
      </c>
      <c r="S71" s="380">
        <f t="shared" si="25"/>
        <v>0</v>
      </c>
      <c r="T71" s="383">
        <f t="shared" si="14"/>
        <v>0</v>
      </c>
      <c r="U71" s="64">
        <f t="shared" si="26"/>
        <v>0</v>
      </c>
      <c r="V71" s="174">
        <f t="shared" si="27"/>
        <v>0</v>
      </c>
      <c r="W71" s="64">
        <f t="shared" si="15"/>
        <v>0</v>
      </c>
      <c r="X71" s="385">
        <f t="shared" si="28"/>
        <v>0</v>
      </c>
      <c r="Y71" s="79">
        <f t="shared" si="29"/>
        <v>0</v>
      </c>
      <c r="Z71" s="53">
        <f t="shared" si="16"/>
        <v>0</v>
      </c>
      <c r="AA71" s="79">
        <f t="shared" si="30"/>
        <v>0</v>
      </c>
      <c r="AB71" s="53">
        <f t="shared" si="17"/>
        <v>0</v>
      </c>
      <c r="AC71" s="79">
        <f t="shared" si="31"/>
        <v>0</v>
      </c>
      <c r="AD71" s="53">
        <f t="shared" si="18"/>
        <v>0</v>
      </c>
    </row>
    <row r="72" spans="1:31" s="2" customFormat="1" ht="18" hidden="1" customHeight="1">
      <c r="A72" s="84"/>
      <c r="B72" s="22"/>
      <c r="C72" s="146"/>
      <c r="D72" s="162"/>
      <c r="E72" s="159">
        <f>IF(E8&gt;$E$2+24,"",DATEDIF(E8,$E$2+24,"y"))</f>
        <v>118</v>
      </c>
      <c r="F72" s="159">
        <f>IF(F8&gt;$E$2+24,"",DATEDIF(F8,$E$2+24,"y"))</f>
        <v>118</v>
      </c>
      <c r="G72" s="159">
        <f>IF(G8&gt;$E$2+24,"",DATEDIF(G8,$E$2+24,"y"))</f>
        <v>118</v>
      </c>
      <c r="H72" s="159">
        <f>IF(H8&gt;$E$2+24,"",DATEDIF(H8,$E$2+24,"y"))</f>
        <v>118</v>
      </c>
      <c r="I72" s="159">
        <f>IF(I8&gt;$E$2+24,"",DATEDIF(I8,$E$2+24,"y"))</f>
        <v>118</v>
      </c>
      <c r="J72" s="174">
        <f t="shared" si="11"/>
        <v>0</v>
      </c>
      <c r="K72" s="64">
        <f t="shared" si="19"/>
        <v>0</v>
      </c>
      <c r="L72" s="385">
        <f t="shared" si="12"/>
        <v>0</v>
      </c>
      <c r="M72" s="391">
        <f t="shared" si="20"/>
        <v>0</v>
      </c>
      <c r="N72" s="64">
        <f t="shared" si="21"/>
        <v>0</v>
      </c>
      <c r="O72" s="385">
        <f t="shared" si="22"/>
        <v>0</v>
      </c>
      <c r="P72" s="399">
        <f t="shared" si="23"/>
        <v>0</v>
      </c>
      <c r="Q72" s="64">
        <f t="shared" si="13"/>
        <v>0</v>
      </c>
      <c r="R72" s="385">
        <f t="shared" si="24"/>
        <v>0</v>
      </c>
      <c r="S72" s="380">
        <f t="shared" si="25"/>
        <v>0</v>
      </c>
      <c r="T72" s="383">
        <f t="shared" si="14"/>
        <v>0</v>
      </c>
      <c r="U72" s="64">
        <f t="shared" si="26"/>
        <v>0</v>
      </c>
      <c r="V72" s="174">
        <f t="shared" si="27"/>
        <v>0</v>
      </c>
      <c r="W72" s="64">
        <f t="shared" si="15"/>
        <v>0</v>
      </c>
      <c r="X72" s="385">
        <f t="shared" si="28"/>
        <v>0</v>
      </c>
      <c r="Y72" s="79">
        <f t="shared" si="29"/>
        <v>0</v>
      </c>
      <c r="Z72" s="53">
        <f t="shared" si="16"/>
        <v>0</v>
      </c>
      <c r="AA72" s="79">
        <f t="shared" si="30"/>
        <v>0</v>
      </c>
      <c r="AB72" s="53">
        <f t="shared" si="17"/>
        <v>0</v>
      </c>
      <c r="AC72" s="79">
        <f t="shared" si="31"/>
        <v>0</v>
      </c>
      <c r="AD72" s="53">
        <f t="shared" si="18"/>
        <v>0</v>
      </c>
    </row>
    <row r="73" spans="1:31" s="2" customFormat="1" ht="18" hidden="1" customHeight="1">
      <c r="A73" s="84"/>
      <c r="B73" s="22"/>
      <c r="C73" s="146"/>
      <c r="D73" s="162"/>
      <c r="E73" s="159">
        <f>IF(E8&gt;$E$2+25,"",DATEDIF(E8,$E$2+25,"y"))</f>
        <v>118</v>
      </c>
      <c r="F73" s="159">
        <f>IF(F8&gt;$E$2+25,"",DATEDIF(F8,$E$2+25,"y"))</f>
        <v>118</v>
      </c>
      <c r="G73" s="159">
        <f>IF(G8&gt;$E$2+25,"",DATEDIF(G8,$E$2+25,"y"))</f>
        <v>118</v>
      </c>
      <c r="H73" s="159">
        <f>IF(H8&gt;$E$2+25,"",DATEDIF(H8,$E$2+25,"y"))</f>
        <v>118</v>
      </c>
      <c r="I73" s="159">
        <f>IF(I8&gt;$E$2+25,"",DATEDIF(I8,$E$2+25,"y"))</f>
        <v>118</v>
      </c>
      <c r="J73" s="174">
        <f t="shared" si="11"/>
        <v>0</v>
      </c>
      <c r="K73" s="64">
        <f t="shared" si="19"/>
        <v>0</v>
      </c>
      <c r="L73" s="385">
        <f t="shared" si="12"/>
        <v>0</v>
      </c>
      <c r="M73" s="391">
        <f t="shared" si="20"/>
        <v>0</v>
      </c>
      <c r="N73" s="64">
        <f t="shared" si="21"/>
        <v>0</v>
      </c>
      <c r="O73" s="385">
        <f t="shared" si="22"/>
        <v>0</v>
      </c>
      <c r="P73" s="399">
        <f t="shared" si="23"/>
        <v>0</v>
      </c>
      <c r="Q73" s="64">
        <f t="shared" si="13"/>
        <v>0</v>
      </c>
      <c r="R73" s="385">
        <f t="shared" si="24"/>
        <v>0</v>
      </c>
      <c r="S73" s="380">
        <f t="shared" si="25"/>
        <v>0</v>
      </c>
      <c r="T73" s="383">
        <f t="shared" si="14"/>
        <v>0</v>
      </c>
      <c r="U73" s="64">
        <f t="shared" si="26"/>
        <v>0</v>
      </c>
      <c r="V73" s="174">
        <f t="shared" si="27"/>
        <v>0</v>
      </c>
      <c r="W73" s="64">
        <f t="shared" si="15"/>
        <v>0</v>
      </c>
      <c r="X73" s="385">
        <f t="shared" si="28"/>
        <v>0</v>
      </c>
      <c r="Y73" s="79">
        <f t="shared" si="29"/>
        <v>0</v>
      </c>
      <c r="Z73" s="53">
        <f t="shared" si="16"/>
        <v>0</v>
      </c>
      <c r="AA73" s="79">
        <f t="shared" si="30"/>
        <v>0</v>
      </c>
      <c r="AB73" s="53">
        <f t="shared" si="17"/>
        <v>0</v>
      </c>
      <c r="AC73" s="79">
        <f t="shared" si="31"/>
        <v>0</v>
      </c>
      <c r="AD73" s="53">
        <f t="shared" si="18"/>
        <v>0</v>
      </c>
    </row>
    <row r="74" spans="1:31" s="2" customFormat="1" ht="18" hidden="1" customHeight="1">
      <c r="A74" s="84"/>
      <c r="B74" s="22"/>
      <c r="C74" s="146"/>
      <c r="D74" s="162"/>
      <c r="E74" s="159">
        <f>IF(E8&gt;$E$2+26,"",DATEDIF(E8,$E$2+26,"y"))</f>
        <v>118</v>
      </c>
      <c r="F74" s="159">
        <f>IF(F8&gt;$E$2+26,"",DATEDIF(F8,$E$2+26,"y"))</f>
        <v>118</v>
      </c>
      <c r="G74" s="159">
        <f>IF(G8&gt;$E$2+26,"",DATEDIF(G8,$E$2+26,"y"))</f>
        <v>118</v>
      </c>
      <c r="H74" s="159">
        <f>IF(H8&gt;$E$2+26,"",DATEDIF(H8,$E$2+26,"y"))</f>
        <v>118</v>
      </c>
      <c r="I74" s="159">
        <f>IF(I8&gt;$E$2+26,"",DATEDIF(I8,$E$2+26,"y"))</f>
        <v>118</v>
      </c>
      <c r="J74" s="174">
        <f t="shared" si="11"/>
        <v>0</v>
      </c>
      <c r="K74" s="64">
        <f t="shared" si="19"/>
        <v>0</v>
      </c>
      <c r="L74" s="385">
        <f t="shared" si="12"/>
        <v>0</v>
      </c>
      <c r="M74" s="391">
        <f t="shared" si="20"/>
        <v>0</v>
      </c>
      <c r="N74" s="64">
        <f t="shared" si="21"/>
        <v>0</v>
      </c>
      <c r="O74" s="385">
        <f t="shared" si="22"/>
        <v>0</v>
      </c>
      <c r="P74" s="399">
        <f t="shared" si="23"/>
        <v>0</v>
      </c>
      <c r="Q74" s="64">
        <f t="shared" si="13"/>
        <v>0</v>
      </c>
      <c r="R74" s="385">
        <f t="shared" si="24"/>
        <v>0</v>
      </c>
      <c r="S74" s="380">
        <f t="shared" si="25"/>
        <v>0</v>
      </c>
      <c r="T74" s="383">
        <f t="shared" si="14"/>
        <v>0</v>
      </c>
      <c r="U74" s="64">
        <f t="shared" si="26"/>
        <v>0</v>
      </c>
      <c r="V74" s="174">
        <f t="shared" si="27"/>
        <v>0</v>
      </c>
      <c r="W74" s="64">
        <f t="shared" si="15"/>
        <v>0</v>
      </c>
      <c r="X74" s="385">
        <f t="shared" si="28"/>
        <v>0</v>
      </c>
      <c r="Y74" s="79">
        <f t="shared" si="29"/>
        <v>0</v>
      </c>
      <c r="Z74" s="53">
        <f t="shared" si="16"/>
        <v>0</v>
      </c>
      <c r="AA74" s="79">
        <f t="shared" si="30"/>
        <v>0</v>
      </c>
      <c r="AB74" s="53">
        <f t="shared" si="17"/>
        <v>0</v>
      </c>
      <c r="AC74" s="79">
        <f t="shared" si="31"/>
        <v>0</v>
      </c>
      <c r="AD74" s="53">
        <f t="shared" si="18"/>
        <v>0</v>
      </c>
    </row>
    <row r="75" spans="1:31" s="2" customFormat="1" ht="18" hidden="1" customHeight="1">
      <c r="A75" s="84"/>
      <c r="B75" s="22"/>
      <c r="C75" s="146"/>
      <c r="D75" s="162"/>
      <c r="E75" s="159">
        <f>IF(E8&gt;$E$2+27,"",DATEDIF(E8,$E$2+27,"y"))</f>
        <v>118</v>
      </c>
      <c r="F75" s="159">
        <f>IF(F8&gt;$E$2+27,"",DATEDIF(F8,$E$2+27,"y"))</f>
        <v>118</v>
      </c>
      <c r="G75" s="159">
        <f>IF(G8&gt;$E$2+27,"",DATEDIF(G8,$E$2+27,"y"))</f>
        <v>118</v>
      </c>
      <c r="H75" s="159">
        <f>IF(H8&gt;$E$2+27,"",DATEDIF(H8,$E$2+27,"y"))</f>
        <v>118</v>
      </c>
      <c r="I75" s="159">
        <f>IF(I8&gt;$E$2+27,"",DATEDIF(I8,$E$2+27,"y"))</f>
        <v>118</v>
      </c>
      <c r="J75" s="174">
        <f t="shared" si="11"/>
        <v>0</v>
      </c>
      <c r="K75" s="64">
        <f t="shared" si="19"/>
        <v>0</v>
      </c>
      <c r="L75" s="385">
        <f t="shared" si="12"/>
        <v>0</v>
      </c>
      <c r="M75" s="391">
        <f t="shared" si="20"/>
        <v>0</v>
      </c>
      <c r="N75" s="64">
        <f t="shared" si="21"/>
        <v>0</v>
      </c>
      <c r="O75" s="385">
        <f t="shared" si="22"/>
        <v>0</v>
      </c>
      <c r="P75" s="399">
        <f t="shared" si="23"/>
        <v>0</v>
      </c>
      <c r="Q75" s="64">
        <f t="shared" si="13"/>
        <v>0</v>
      </c>
      <c r="R75" s="385">
        <f t="shared" si="24"/>
        <v>0</v>
      </c>
      <c r="S75" s="380">
        <f t="shared" si="25"/>
        <v>0</v>
      </c>
      <c r="T75" s="383">
        <f t="shared" si="14"/>
        <v>0</v>
      </c>
      <c r="U75" s="64">
        <f t="shared" si="26"/>
        <v>0</v>
      </c>
      <c r="V75" s="174">
        <f t="shared" si="27"/>
        <v>0</v>
      </c>
      <c r="W75" s="64">
        <f t="shared" si="15"/>
        <v>0</v>
      </c>
      <c r="X75" s="385">
        <f t="shared" si="28"/>
        <v>0</v>
      </c>
      <c r="Y75" s="79">
        <f t="shared" si="29"/>
        <v>0</v>
      </c>
      <c r="Z75" s="53">
        <f t="shared" si="16"/>
        <v>0</v>
      </c>
      <c r="AA75" s="79">
        <f t="shared" si="30"/>
        <v>0</v>
      </c>
      <c r="AB75" s="53">
        <f t="shared" si="17"/>
        <v>0</v>
      </c>
      <c r="AC75" s="79">
        <f t="shared" si="31"/>
        <v>0</v>
      </c>
      <c r="AD75" s="53">
        <f t="shared" si="18"/>
        <v>0</v>
      </c>
    </row>
    <row r="76" spans="1:31" s="2" customFormat="1" ht="18" hidden="1" customHeight="1">
      <c r="A76" s="84"/>
      <c r="B76" s="22"/>
      <c r="C76" s="146"/>
      <c r="D76" s="162"/>
      <c r="E76" s="159">
        <f>IF(E8&gt;$E$2+28,"",DATEDIF(E8,$E$2+28,"y"))</f>
        <v>118</v>
      </c>
      <c r="F76" s="159">
        <f>IF(F8&gt;$E$2+28,"",DATEDIF(F8,$E$2+28,"y"))</f>
        <v>118</v>
      </c>
      <c r="G76" s="159">
        <f>IF(G8&gt;$E$2+28,"",DATEDIF(G8,$E$2+28,"y"))</f>
        <v>118</v>
      </c>
      <c r="H76" s="159">
        <f>IF(H8&gt;$E$2+28,"",DATEDIF(H8,$E$2+28,"y"))</f>
        <v>118</v>
      </c>
      <c r="I76" s="159">
        <f>IF(I8&gt;$E$2+28,"",DATEDIF(I8,$E$2+28,"y"))</f>
        <v>118</v>
      </c>
      <c r="J76" s="174">
        <f>IF(AND(I2="Februar",G2&lt;29),"",COUNTIF(E76:I76,"&lt;7"))</f>
        <v>0</v>
      </c>
      <c r="K76" s="64">
        <f t="shared" si="19"/>
        <v>0</v>
      </c>
      <c r="L76" s="385">
        <f t="shared" si="12"/>
        <v>0</v>
      </c>
      <c r="M76" s="391">
        <f>IF(AND(I2="Februar",G2&lt;29),"",SUMPRODUCT((E76:I76&gt;6)*(E76:I76&lt;18)))</f>
        <v>0</v>
      </c>
      <c r="N76" s="64">
        <f t="shared" si="21"/>
        <v>0</v>
      </c>
      <c r="O76" s="385">
        <f t="shared" si="22"/>
        <v>0</v>
      </c>
      <c r="P76" s="399">
        <f>IF(AND(I2="Februar",G2&lt;29),"",COUNTIF(E76:I76,"&lt;16"))</f>
        <v>0</v>
      </c>
      <c r="Q76" s="64">
        <f t="shared" si="13"/>
        <v>0</v>
      </c>
      <c r="R76" s="385">
        <f t="shared" si="24"/>
        <v>0</v>
      </c>
      <c r="S76" s="380">
        <f>IF(AND(I2="Februar",G2&lt;29),"",SUMPRODUCT((E76:I76&gt;15)*(E76:I76&lt;18)))</f>
        <v>0</v>
      </c>
      <c r="T76" s="383">
        <f t="shared" si="14"/>
        <v>0</v>
      </c>
      <c r="U76" s="64">
        <f t="shared" si="26"/>
        <v>0</v>
      </c>
      <c r="V76" s="174">
        <f>IF(AND(I2="Februar",G2&lt;29),"",SUMPRODUCT((E76:I76&gt;6)*(E76:I76&lt;16))+SUMPRODUCT((E76:I76&gt;15)*(E76:I76&lt;18)))</f>
        <v>0</v>
      </c>
      <c r="W76" s="64">
        <f t="shared" si="15"/>
        <v>0</v>
      </c>
      <c r="X76" s="385">
        <f t="shared" si="28"/>
        <v>0</v>
      </c>
      <c r="Y76" s="79">
        <f>IF(AND(I2="Februar",G2&lt;29),"",COUNTIF(E76:I76,"&lt;18"))</f>
        <v>0</v>
      </c>
      <c r="Z76" s="53">
        <f t="shared" si="16"/>
        <v>0</v>
      </c>
      <c r="AA76" s="79">
        <f>IF(AND(I2="Februar",G2&lt;29),"",COUNTIF(E76:I76,"&lt;18"))</f>
        <v>0</v>
      </c>
      <c r="AB76" s="53">
        <f t="shared" si="17"/>
        <v>0</v>
      </c>
      <c r="AC76" s="79">
        <f>IF(AND(I2="Februar",G2&lt;29),"",COUNTIF(E76:I76,"&lt;18"))</f>
        <v>0</v>
      </c>
      <c r="AD76" s="53">
        <f t="shared" si="18"/>
        <v>0</v>
      </c>
    </row>
    <row r="77" spans="1:31" s="2" customFormat="1" ht="18" hidden="1" customHeight="1">
      <c r="A77" s="84"/>
      <c r="B77" s="22"/>
      <c r="C77" s="146"/>
      <c r="D77" s="162"/>
      <c r="E77" s="159">
        <f>IF(E8&gt;$E$2+29,"",DATEDIF(E8,$E$2+29,"y"))</f>
        <v>118</v>
      </c>
      <c r="F77" s="159">
        <f>IF(F8&gt;$E$2+29,"",DATEDIF(F8,$E$2+29,"y"))</f>
        <v>118</v>
      </c>
      <c r="G77" s="159">
        <f>IF(G8&gt;$E$2+29,"",DATEDIF(G8,$E$2+29,"y"))</f>
        <v>118</v>
      </c>
      <c r="H77" s="159">
        <f>IF(H8&gt;$E$2+29,"",DATEDIF(H8,$E$2+29,"y"))</f>
        <v>118</v>
      </c>
      <c r="I77" s="159">
        <f>IF(I8&gt;$E$2+29,"",DATEDIF(I8,$E$2+29,"y"))</f>
        <v>118</v>
      </c>
      <c r="J77" s="174">
        <f>IF(I2="Februar","",COUNTIF(E77:I77,"&lt;7"))</f>
        <v>0</v>
      </c>
      <c r="K77" s="64">
        <f t="shared" si="19"/>
        <v>0</v>
      </c>
      <c r="L77" s="385">
        <f t="shared" si="12"/>
        <v>0</v>
      </c>
      <c r="M77" s="391">
        <f>IF(I2="Februar","",SUMPRODUCT((E77:I77&gt;6)*(E77:I77&lt;18)))</f>
        <v>0</v>
      </c>
      <c r="N77" s="64">
        <f t="shared" si="21"/>
        <v>0</v>
      </c>
      <c r="O77" s="385">
        <f t="shared" si="22"/>
        <v>0</v>
      </c>
      <c r="P77" s="399">
        <f>IF(I2="Februar","",COUNTIF(E77:I77,"&lt;16"))</f>
        <v>0</v>
      </c>
      <c r="Q77" s="64">
        <f t="shared" si="13"/>
        <v>0</v>
      </c>
      <c r="R77" s="385">
        <f t="shared" si="24"/>
        <v>0</v>
      </c>
      <c r="S77" s="380">
        <f>IF(I2="Februar","",SUMPRODUCT((E77:I77&gt;15)*(E77:I77&lt;18)))</f>
        <v>0</v>
      </c>
      <c r="T77" s="383">
        <f t="shared" si="14"/>
        <v>0</v>
      </c>
      <c r="U77" s="64">
        <f t="shared" si="26"/>
        <v>0</v>
      </c>
      <c r="V77" s="174">
        <f>IF(I2="Februar","",SUMPRODUCT((E77:I77&gt;6)*(E77:I77&lt;16))+SUMPRODUCT((E77:I77&gt;15)*(E77:I77&lt;18)))</f>
        <v>0</v>
      </c>
      <c r="W77" s="64">
        <f t="shared" si="15"/>
        <v>0</v>
      </c>
      <c r="X77" s="385">
        <f t="shared" si="28"/>
        <v>0</v>
      </c>
      <c r="Y77" s="79">
        <f>IF(I2="Februar","",COUNTIF(E77:I77,"&lt;18"))</f>
        <v>0</v>
      </c>
      <c r="Z77" s="53">
        <f t="shared" si="16"/>
        <v>0</v>
      </c>
      <c r="AA77" s="79">
        <f>IF(I2="Februar","",COUNTIF(E77:I77,"&lt;18"))</f>
        <v>0</v>
      </c>
      <c r="AB77" s="53">
        <f t="shared" si="17"/>
        <v>0</v>
      </c>
      <c r="AC77" s="79">
        <f>IF(I2="Februar","",COUNTIF(E77:I77,"&lt;18"))</f>
        <v>0</v>
      </c>
      <c r="AD77" s="53">
        <f t="shared" si="18"/>
        <v>0</v>
      </c>
    </row>
    <row r="78" spans="1:31" s="2" customFormat="1" ht="18" hidden="1" customHeight="1">
      <c r="A78" s="84"/>
      <c r="B78" s="22"/>
      <c r="C78" s="146"/>
      <c r="D78" s="162"/>
      <c r="E78" s="159">
        <f>IF(E8&gt;$E$2+30,"",DATEDIF(E8,$E$2+30,"y"))</f>
        <v>118</v>
      </c>
      <c r="F78" s="159">
        <f>IF(F8&gt;$E$2+30,"",DATEDIF(F8,$E$2+30,"y"))</f>
        <v>118</v>
      </c>
      <c r="G78" s="159">
        <f>IF(G8&gt;$E$2+30,"",DATEDIF(G8,$E$2+30,"y"))</f>
        <v>118</v>
      </c>
      <c r="H78" s="159">
        <f>IF(H8&gt;$E$2+30,"",DATEDIF(H8,$E$2+30,"y"))</f>
        <v>118</v>
      </c>
      <c r="I78" s="159">
        <f>IF(I8&gt;$E$2+30,"",DATEDIF(I8,$E$2+30,"y"))</f>
        <v>118</v>
      </c>
      <c r="J78" s="174" t="str">
        <f>IF(G2&lt;31,"",COUNTIF(E78:I78,"&lt;7"))</f>
        <v/>
      </c>
      <c r="K78" s="64">
        <f t="shared" si="19"/>
        <v>0</v>
      </c>
      <c r="L78" s="385">
        <f t="shared" si="12"/>
        <v>0</v>
      </c>
      <c r="M78" s="395" t="str">
        <f>IF(G2&lt;31,"",SUMPRODUCT((E78:I78&gt;6)*(E78:I78&lt;18)))</f>
        <v/>
      </c>
      <c r="N78" s="396">
        <f t="shared" si="21"/>
        <v>0</v>
      </c>
      <c r="O78" s="385">
        <f t="shared" si="22"/>
        <v>0</v>
      </c>
      <c r="P78" s="399" t="str">
        <f>IF(G2&lt;31,"",COUNTIF(E78:I78,"&lt;16"))</f>
        <v/>
      </c>
      <c r="Q78" s="64">
        <f t="shared" si="13"/>
        <v>0</v>
      </c>
      <c r="R78" s="385">
        <f t="shared" si="24"/>
        <v>0</v>
      </c>
      <c r="S78" s="380" t="str">
        <f>IF(G2&lt;31,"",SUMPRODUCT((E78:I78&gt;15)*(E78:I78&lt;18)))</f>
        <v/>
      </c>
      <c r="T78" s="383">
        <f t="shared" si="14"/>
        <v>0</v>
      </c>
      <c r="U78" s="64">
        <f t="shared" si="26"/>
        <v>0</v>
      </c>
      <c r="V78" s="174" t="str">
        <f>IF(G2&lt;31,"",SUMPRODUCT((E78:I78&gt;6)*(E78:I78&lt;16))+SUMPRODUCT((E78:I78&gt;15)*(E78:I78&lt;18)))</f>
        <v/>
      </c>
      <c r="W78" s="64">
        <f t="shared" si="15"/>
        <v>0</v>
      </c>
      <c r="X78" s="385">
        <f t="shared" si="28"/>
        <v>0</v>
      </c>
      <c r="Y78" s="79" t="str">
        <f>IF(G2&lt;31,"",COUNTIF(E78:I78,"&lt;18"))</f>
        <v/>
      </c>
      <c r="Z78" s="53">
        <f t="shared" si="16"/>
        <v>0</v>
      </c>
      <c r="AA78" s="79" t="str">
        <f>IF(G2&lt;31,"",COUNTIF(E78:I78,"&lt;18"))</f>
        <v/>
      </c>
      <c r="AB78" s="53">
        <f t="shared" si="17"/>
        <v>0</v>
      </c>
      <c r="AC78" s="79" t="str">
        <f>IF(G2&lt;31,"",COUNTIF(E78:I78,"&lt;18"))</f>
        <v/>
      </c>
      <c r="AD78" s="53">
        <f t="shared" si="18"/>
        <v>0</v>
      </c>
    </row>
    <row r="79" spans="1:31" s="2" customFormat="1" ht="20.100000000000001" hidden="1" customHeight="1">
      <c r="C79" s="25"/>
      <c r="D79" s="365"/>
      <c r="E79" s="37"/>
      <c r="F79" s="22"/>
      <c r="G79" s="37"/>
      <c r="H79" s="24"/>
      <c r="I79" s="375">
        <f>IF(AND(J33&gt;0,N33=0,Q33&gt;K33),H87*(F13-1)/30+H79,H79)</f>
        <v>0</v>
      </c>
      <c r="J79" s="378"/>
      <c r="K79" s="386"/>
      <c r="L79" s="379">
        <f>COUNTIF(L48:L78,"&gt;0")</f>
        <v>0</v>
      </c>
      <c r="M79" s="393"/>
      <c r="N79" s="392"/>
      <c r="O79" s="394">
        <f>COUNTIF(O48:O78,"&gt;0")</f>
        <v>0</v>
      </c>
      <c r="P79" s="400"/>
      <c r="Q79" s="390"/>
      <c r="R79" s="390">
        <f>COUNTIF(R48:R78,"&gt;0")</f>
        <v>0</v>
      </c>
      <c r="S79" s="381"/>
      <c r="T79" s="4"/>
      <c r="U79" s="387">
        <f>COUNTIF(U48:U78,"&gt;0")</f>
        <v>0</v>
      </c>
      <c r="V79" s="389"/>
      <c r="W79" s="386"/>
      <c r="X79" s="390">
        <f>COUNTIF(X48:X78,"&gt;0")</f>
        <v>0</v>
      </c>
      <c r="Y79" s="381"/>
      <c r="Z79" s="379">
        <f>COUNTIF(Z48:Z78,"&gt;0")</f>
        <v>0</v>
      </c>
      <c r="AA79" s="381"/>
      <c r="AB79" s="379">
        <f>COUNTIF(AB48:AB78,"&gt;0")</f>
        <v>0</v>
      </c>
      <c r="AC79" s="381"/>
      <c r="AD79" s="379">
        <f>COUNTIF(AD48:AD78,"&gt;0")</f>
        <v>0</v>
      </c>
      <c r="AE79" s="367">
        <f>SUM(L79:AD79)</f>
        <v>0</v>
      </c>
    </row>
    <row r="80" spans="1:31" s="2" customFormat="1" ht="20.100000000000001" hidden="1" customHeight="1">
      <c r="B80" s="22"/>
      <c r="C80" s="25"/>
      <c r="F80" s="20"/>
      <c r="G80" s="24"/>
      <c r="H80" s="24"/>
      <c r="I80" s="53"/>
      <c r="J80" s="363"/>
      <c r="L80" s="363">
        <f>$C$23*36%</f>
        <v>147.23999999999998</v>
      </c>
      <c r="M80" s="363"/>
      <c r="O80" s="363">
        <f>$C$23*12%</f>
        <v>49.08</v>
      </c>
      <c r="P80" s="363"/>
      <c r="R80" s="363">
        <f>$C$23*36%</f>
        <v>147.23999999999998</v>
      </c>
      <c r="S80" s="363"/>
      <c r="U80" s="363">
        <f>$C$23*24%</f>
        <v>98.16</v>
      </c>
      <c r="V80" s="363"/>
      <c r="X80" s="363">
        <f>$C$23*24%</f>
        <v>98.16</v>
      </c>
      <c r="Y80" s="363"/>
      <c r="Z80" s="363">
        <f>$C$23*36%</f>
        <v>147.23999999999998</v>
      </c>
      <c r="AA80" s="363"/>
      <c r="AB80" s="363">
        <f>$C$23*48%</f>
        <v>196.32</v>
      </c>
      <c r="AC80" s="363"/>
      <c r="AD80" s="363">
        <f>$C$23*60%</f>
        <v>245.39999999999998</v>
      </c>
    </row>
    <row r="81" spans="1:31" s="2" customFormat="1" ht="20.100000000000001" hidden="1" customHeight="1">
      <c r="B81" s="22"/>
      <c r="C81" s="25"/>
      <c r="F81" s="20"/>
      <c r="G81" s="24"/>
      <c r="H81" s="24"/>
      <c r="I81" s="53"/>
      <c r="J81" s="363"/>
      <c r="L81" s="368">
        <f>IF(AND($AE$47=1,$AE$79&gt;30,L48=0),L79-1,IF(AND($AE$47=1,$AE$79=28,L48=0),L79+2,IF(AND($AE$47=1,$AE$79=29,L48=0),L79+1,L79)))</f>
        <v>0</v>
      </c>
      <c r="M81" s="368"/>
      <c r="O81" s="368">
        <f>IF(AND($AE$47=1,$AE$79&gt;30,O48=0),O79-1,IF(AND($AE$47=1,$AE$79=28,O48=0),O79+2,IF(AND($AE$47=1,$AE$79=29,O48=0),O79+1,O79)))</f>
        <v>0</v>
      </c>
      <c r="P81" s="368"/>
      <c r="Q81" s="368"/>
      <c r="R81" s="368">
        <f>IF(AND($AE$47=1,$AE$79&gt;30,R48=0),R79-1,IF(AND($AE$47=1,$AE$79=28,R48=0),R79+2,IF(AND($AE$47=1,$AE$79=29,R48=0),R79+1,R79)))</f>
        <v>0</v>
      </c>
      <c r="S81" s="368"/>
      <c r="U81" s="368">
        <f>IF(AND($AE$47=1,$AE$79&gt;30,U48=0),U79-1,IF(AND($AE$47=1,$AE$79=28,U48=0),U79+2,IF(AND($AE$47=1,$AE$79=29,U48=0),U79+1,U79)))</f>
        <v>0</v>
      </c>
      <c r="V81" s="368"/>
      <c r="X81" s="368">
        <f>IF(AND($AE$47=1,$AE$79&gt;30,X48=0),X79-1,IF(AND($AE$47=1,$AE$79=28,X48=0),X79+2,IF(AND($AE$47=1,$AE$79=29,X48=0),X79+1,X79)))</f>
        <v>0</v>
      </c>
      <c r="Y81" s="368"/>
      <c r="Z81" s="368">
        <f>IF(AND($AE$47=1,$AE$79&gt;30,Z48=0),Z79-1,IF(AND($AE$47=1,$AE$79=28,Z48=0),Z79+2,IF(AND($AE$47=1,$AE$79=29,Z48=0),Z79+1,Z79)))</f>
        <v>0</v>
      </c>
      <c r="AA81" s="368"/>
      <c r="AB81" s="368">
        <f>IF(AND($AE$47=1,$AE$79&gt;30,AB48=0),AB79-1,IF(AND($AE$47=1,$AE$79=28,AB48=0),AB79+2,IF(AND($AE$47=1,$AE$79=29,AB48=0),AB79+1,AB79)))</f>
        <v>0</v>
      </c>
      <c r="AC81" s="368"/>
      <c r="AD81" s="368">
        <f>IF(AND($AE$47=1,$AE$79&gt;30,AD48=0),AD79-1,IF(AND($AE$47=1,$AE$79=28,AD48=0),AD79+2,IF(AND($AE$47=1,$AE$79=29,AD48=0),AD79+1,AD79)))</f>
        <v>0</v>
      </c>
    </row>
    <row r="82" spans="1:31" s="2" customFormat="1" ht="20.100000000000001" hidden="1" customHeight="1">
      <c r="B82" s="22"/>
      <c r="C82" s="25"/>
      <c r="F82" s="20"/>
      <c r="G82" s="24"/>
      <c r="H82" s="24"/>
      <c r="I82" s="53"/>
      <c r="J82" s="363"/>
      <c r="L82" s="368">
        <f>IF(AND($AE$79&gt;30,L79=L81),30,IF(AND($AE$79=28,$I$2="februar",L79=L81),30,IF(AND($AE$79=29,$I$2="Februar"),30,L81)))</f>
        <v>0</v>
      </c>
      <c r="M82" s="368"/>
      <c r="O82" s="368">
        <f>IF(AND($AE$79&gt;30,O79=O81),30,IF(AND($AE$79=28,$I$2="februar",O79=O81),30,IF(AND($AE$79=29,$I$2="Februar"),30,O81)))</f>
        <v>0</v>
      </c>
      <c r="P82" s="368"/>
      <c r="Q82" s="368"/>
      <c r="R82" s="368">
        <f>IF(AND($AE$79&gt;30,R79=R81),30,IF(AND($AE$79=28,$I$2="februar",R79=R81),30,IF(AND($AE$79=29,$I$2="Februar"),30,R81)))</f>
        <v>0</v>
      </c>
      <c r="S82" s="368"/>
      <c r="U82" s="368">
        <f>IF(AND($AE$79&gt;30,U79=U81),30,IF(AND($AE$79=28,$I$2="februar",U79=U81),30,IF(AND($AE$79=29,$I$2="Februar"),30,U81)))</f>
        <v>0</v>
      </c>
      <c r="V82" s="368"/>
      <c r="X82" s="368">
        <f>IF(AND($AE$79&gt;30,X79=X81),30,IF(AND($AE$79=28,$I$2="februar",X79=X81),30,IF(AND($AE$79=29,$I$2="Februar"),30,X81)))</f>
        <v>0</v>
      </c>
      <c r="Y82" s="368"/>
      <c r="Z82" s="368">
        <f>IF(AND($AE$79&gt;30,Z79=Z81),30,IF(AND($AE$79=28,$I$2="februar",Z79=Z81),30,IF(AND($AE$79=29,$I$2="Februar"),30,Z81)))</f>
        <v>0</v>
      </c>
      <c r="AA82" s="368"/>
      <c r="AB82" s="368">
        <f>IF(AND($AE$79&gt;30,AB79=AB81),30,IF(AND($AE$79=28,$I$2="februar",AB79=AB81),30,IF(AND($AE$79=29,$I$2="Februar"),30,AB81)))</f>
        <v>0</v>
      </c>
      <c r="AC82" s="368"/>
      <c r="AD82" s="368">
        <f>IF(AND($AE$79&gt;30,AD79=AD81),30,IF(AND($AE$79=28,$I$2="februar",AD79=AD81),30,IF(AND($AE$79=29,$I$2="Februar"),30,AD81)))</f>
        <v>0</v>
      </c>
    </row>
    <row r="83" spans="1:31" s="2" customFormat="1" ht="20.100000000000001" hidden="1" customHeight="1">
      <c r="B83" s="22"/>
      <c r="C83" s="25"/>
      <c r="F83" s="20"/>
      <c r="G83" s="24"/>
      <c r="H83" s="24"/>
      <c r="I83" s="53"/>
      <c r="J83" s="363"/>
      <c r="L83" s="368">
        <f>IF(OR(Q89&gt;0,O84&gt;0),L81,L82)</f>
        <v>0</v>
      </c>
      <c r="M83" s="368"/>
      <c r="N83" s="368"/>
      <c r="O83" s="368">
        <f>IF(R80&lt;&gt;Q89,O81,O82)</f>
        <v>0</v>
      </c>
      <c r="P83" s="368"/>
      <c r="Q83" s="368"/>
      <c r="R83" s="368">
        <f>IF(OR(X90&gt;0,Z86&gt;0),R81,R82)</f>
        <v>0</v>
      </c>
      <c r="S83" s="368"/>
      <c r="U83" s="368">
        <f>IF(O84&gt;0,U81,U82)</f>
        <v>0</v>
      </c>
      <c r="V83" s="368"/>
      <c r="X83" s="368">
        <f>IF(AND(Z79&gt;0,U79&gt;0),X81,IF(Z79&gt;0,X81,X82))</f>
        <v>0</v>
      </c>
      <c r="Y83" s="368"/>
      <c r="Z83" s="368">
        <f>IF(AB84&gt;0,Z81,Z82)</f>
        <v>0</v>
      </c>
      <c r="AA83" s="368"/>
      <c r="AB83" s="368">
        <f>IF(AD83&gt;0,AB81,AB82)</f>
        <v>0</v>
      </c>
      <c r="AC83" s="368"/>
      <c r="AD83" s="363">
        <f>IF(AD79=0,0,AD80/$H$2*AD82)</f>
        <v>0</v>
      </c>
    </row>
    <row r="84" spans="1:31" s="2" customFormat="1" ht="20.100000000000001" hidden="1" customHeight="1">
      <c r="B84" s="22"/>
      <c r="C84" s="25"/>
      <c r="F84" s="20"/>
      <c r="G84" s="24"/>
      <c r="H84" s="24"/>
      <c r="I84" s="53"/>
      <c r="J84" s="363"/>
      <c r="L84" s="368">
        <f>IF(Z86&gt;0,L81,L83)</f>
        <v>0</v>
      </c>
      <c r="M84" s="368"/>
      <c r="N84" s="368"/>
      <c r="O84" s="363">
        <f>IF(O79=0,0,O80/$H$2*O83)</f>
        <v>0</v>
      </c>
      <c r="P84" s="368"/>
      <c r="Q84" s="368"/>
      <c r="R84" s="368">
        <f>IF(AND($AE$79&gt;30,R78=0),R79,IF(AND($AE$79=28,$I$2="februar",R75=0),R79,IF(AND($AE$79=29,$I$2="Februar",R76=0),R79,R83)))</f>
        <v>0</v>
      </c>
      <c r="S84" s="368"/>
      <c r="T84" s="368"/>
      <c r="U84" s="368">
        <f>IF(Z86&gt;0,U81,U83)</f>
        <v>0</v>
      </c>
      <c r="V84" s="368"/>
      <c r="X84" s="368">
        <f>IF(AND($AE$79&gt;30,X78=0),X79,IF(AND($AE$79=28,$I$2="februar",X75=0),X79,IF(AND($AE$79=29,$I$2="Februar",X76=0),X79,X83)))</f>
        <v>0</v>
      </c>
      <c r="Y84" s="368"/>
      <c r="Z84" s="368">
        <f>IF(X90&gt;0,Z81,Z83)</f>
        <v>0</v>
      </c>
      <c r="AA84" s="368"/>
      <c r="AB84" s="363">
        <f>IF(AB79=0,0,AB80/$H$2*AB83)</f>
        <v>0</v>
      </c>
      <c r="AC84" s="368"/>
      <c r="AD84" s="398">
        <f>IF(AND($AE$79&gt;30,AD78=0),AD80/30*AD79,IF(AND($AE$79=28,$I$2="februar",AD75=0),AD80/30*AD79,IF(AND($AE$79=29,$I$2="Februar",AD76=0),AD80/30*AD79,AD83)))</f>
        <v>0</v>
      </c>
    </row>
    <row r="85" spans="1:31" s="2" customFormat="1" ht="20.100000000000001" hidden="1" customHeight="1">
      <c r="B85" s="22"/>
      <c r="C85" s="25"/>
      <c r="F85" s="20"/>
      <c r="G85" s="24"/>
      <c r="H85" s="24"/>
      <c r="I85" s="53"/>
      <c r="J85" s="363"/>
      <c r="L85" s="368">
        <f>IF(AND($AE$79&gt;30,L78=0),L79,IF(AND($AE$79=28,$I$2="februar",L75=0),L79,IF(AND($AE$79=29,$I$2="Februar",L76=0),L79,L84)))</f>
        <v>0</v>
      </c>
      <c r="M85" s="368"/>
      <c r="N85" s="368"/>
      <c r="O85" s="398">
        <f>IF(AND($AE$79&gt;30,O78=0),O80/30*O79,IF(AND($AE$79=28,$I$2="februar",O75=0),O80/30*O79,IF(AND($AE$79=29,$I$2="Februar",O76=0),O80/30*O79,O84)))</f>
        <v>0</v>
      </c>
      <c r="P85" s="368"/>
      <c r="Q85" s="368"/>
      <c r="R85" s="368"/>
      <c r="S85" s="368"/>
      <c r="T85" s="368"/>
      <c r="U85" s="368">
        <f>IF(AND($AE$79&gt;30,U78=0),U79,IF(AND($AE$79=28,$I$2="februar",U75=0),U79,IF(AND($AE$79=29,$I$2="Februar",U76=0),U79,U84)))</f>
        <v>0</v>
      </c>
      <c r="V85" s="368"/>
      <c r="X85" s="368"/>
      <c r="Y85" s="368"/>
      <c r="Z85" s="368">
        <f>IF(O79&gt;0,Z81,Z84)</f>
        <v>0</v>
      </c>
      <c r="AA85" s="368"/>
      <c r="AB85" s="363">
        <f>IF(AND(AB48&gt;0,Z86&lt;Z80),AB84/$H$2*AB81,AB84)</f>
        <v>0</v>
      </c>
      <c r="AC85" s="368"/>
      <c r="AD85" s="368"/>
    </row>
    <row r="86" spans="1:31" s="2" customFormat="1" ht="20.100000000000001" hidden="1" customHeight="1">
      <c r="B86" s="22"/>
      <c r="C86" s="25"/>
      <c r="F86" s="20"/>
      <c r="G86" s="24"/>
      <c r="H86" s="24"/>
      <c r="I86" s="53"/>
      <c r="J86" s="363"/>
      <c r="L86" s="368"/>
      <c r="M86" s="368"/>
      <c r="N86" s="368"/>
      <c r="O86" s="398">
        <f>IF(AND(I2="Februar",O79&gt;27,O48&gt;0),O80,O85)</f>
        <v>0</v>
      </c>
      <c r="P86" s="368"/>
      <c r="Q86" s="368"/>
      <c r="R86" s="368"/>
      <c r="S86" s="368"/>
      <c r="T86" s="368"/>
      <c r="U86" s="368"/>
      <c r="V86" s="368"/>
      <c r="X86" s="368"/>
      <c r="Y86" s="368"/>
      <c r="Z86" s="363">
        <f>IF(Z79=0,0,Z80/$H$2*Z85)</f>
        <v>0</v>
      </c>
      <c r="AA86" s="368"/>
      <c r="AB86" s="363">
        <f>IF(AD83&lt;AD80,AB84,AB85)</f>
        <v>0</v>
      </c>
      <c r="AC86" s="368"/>
    </row>
    <row r="87" spans="1:31" s="2" customFormat="1" ht="20.100000000000001" hidden="1" customHeight="1">
      <c r="B87" s="22"/>
      <c r="C87" s="25"/>
      <c r="F87" s="149"/>
      <c r="G87" s="24"/>
      <c r="H87" s="24"/>
      <c r="I87" s="53"/>
      <c r="J87" s="363"/>
      <c r="M87" s="366"/>
      <c r="P87" s="366"/>
      <c r="S87" s="366"/>
      <c r="V87" s="366"/>
      <c r="Y87" s="366"/>
      <c r="Z87" s="398">
        <f>IF(AND(U90&gt;0,U90&lt;&gt;U80),Z86/$H$2*Z81,Z86)</f>
        <v>0</v>
      </c>
      <c r="AA87" s="366"/>
      <c r="AB87" s="398">
        <f>IF(AND($AE$79&gt;30,AB78&gt;0,AD79&gt;0),AB80/30*(AB79-1),IF(AND($AE$79&gt;30,AB78&gt;0,Z79&gt;0),AB80/30*(AB79-1),AB86))</f>
        <v>0</v>
      </c>
      <c r="AC87" s="366"/>
    </row>
    <row r="88" spans="1:31" s="2" customFormat="1" ht="20.100000000000001" hidden="1" customHeight="1">
      <c r="B88" s="22"/>
      <c r="C88" s="25"/>
      <c r="F88" s="149"/>
      <c r="G88" s="24"/>
      <c r="H88" s="24"/>
      <c r="I88" s="53"/>
      <c r="J88" s="363"/>
      <c r="M88" s="366"/>
      <c r="P88" s="366"/>
      <c r="S88" s="366"/>
      <c r="V88" s="366"/>
      <c r="Y88" s="366"/>
      <c r="Z88" s="398">
        <f>IF(AND(U90&gt;0,X90&gt;0),Z86,IF(AND(U90&gt;0,AE79=31,Z78&gt;0),Z86,IF(AND(U90&gt;0,AE79=30,Z77&gt;0),Z86,IF(AND(U90&gt;0,AE79=28,I2="Februar",Z75&gt;0),Z86,Z87))))</f>
        <v>0</v>
      </c>
      <c r="AA88" s="366"/>
      <c r="AB88" s="365">
        <f>MIN(AB85,AB87)</f>
        <v>0</v>
      </c>
      <c r="AC88" s="366"/>
    </row>
    <row r="89" spans="1:31" s="2" customFormat="1" ht="20.100000000000001" hidden="1" customHeight="1">
      <c r="B89" s="22"/>
      <c r="C89" s="25"/>
      <c r="F89" s="149"/>
      <c r="G89" s="24"/>
      <c r="H89" s="24"/>
      <c r="I89" s="53"/>
      <c r="J89" s="363"/>
      <c r="M89" s="366"/>
      <c r="P89" s="366"/>
      <c r="Q89" s="366"/>
      <c r="S89" s="366"/>
      <c r="V89" s="366"/>
      <c r="Y89" s="366"/>
      <c r="Z89" s="398">
        <f>IF(AND(L90&gt;0,U90&gt;0,L84&lt;L79),Z80/30*Z79,IF(AND(L90&gt;0,U90&gt;0,U84&lt;U79),Z80/30*Z79,IF(AND(L90&gt;0,U90&gt;0,L84=L79,U84=U79),Z80/30*Z85,Z88)))</f>
        <v>0</v>
      </c>
      <c r="AA89" s="366"/>
      <c r="AC89" s="366"/>
    </row>
    <row r="90" spans="1:31" s="2" customFormat="1" ht="20.100000000000001" hidden="1" customHeight="1">
      <c r="B90" s="22"/>
      <c r="C90" s="25"/>
      <c r="F90" s="149"/>
      <c r="G90" s="24"/>
      <c r="H90" s="24"/>
      <c r="I90" s="53"/>
      <c r="J90" s="363"/>
      <c r="L90" s="366">
        <f>IF(L79=0,0,L80/$H$2*L85)</f>
        <v>0</v>
      </c>
      <c r="M90" s="366"/>
      <c r="O90" s="366">
        <f>IF(O84&gt;O80,O80/$H$2*O82,O86)</f>
        <v>0</v>
      </c>
      <c r="P90" s="366"/>
      <c r="Q90" s="366"/>
      <c r="R90" s="366">
        <f>IF(OR(Z86&gt;137.51,R79=0),0,R80/$H$2*R84)</f>
        <v>0</v>
      </c>
      <c r="S90" s="366"/>
      <c r="U90" s="366">
        <f>IF(U79=0,0,U80/$H$2*U85)</f>
        <v>0</v>
      </c>
      <c r="V90" s="366"/>
      <c r="X90" s="366">
        <f>IF(X79=0,0,X80/$H$2*X84)</f>
        <v>0</v>
      </c>
      <c r="Y90" s="366"/>
      <c r="Z90" s="397">
        <f>IF(AND($AE$79&gt;30,Z78&gt;0,X79&gt;0,R79&gt;0),Z80/30*(Z79-1),Z89)</f>
        <v>0</v>
      </c>
      <c r="AA90" s="366"/>
      <c r="AB90" s="401">
        <f>IF(AB86+Z89&gt;AB80,AB88,AB87)</f>
        <v>0</v>
      </c>
      <c r="AC90" s="366"/>
      <c r="AD90" s="397">
        <f>IF(AND(AB48=0,AB90&gt;0),AD83/$H$2*AD81,AD84)</f>
        <v>0</v>
      </c>
      <c r="AE90" s="369">
        <f>IF(Z89=Z80,Z89,SUM(L90:AD90))</f>
        <v>0</v>
      </c>
    </row>
    <row r="91" spans="1:31" s="2" customFormat="1" ht="20.100000000000001" customHeight="1">
      <c r="A91" s="84" t="s">
        <v>57</v>
      </c>
      <c r="B91" s="22"/>
      <c r="C91" s="23">
        <f>Zusatzeingaben!C91</f>
        <v>0</v>
      </c>
      <c r="D91" s="23">
        <f>Zusatzeingaben!D91</f>
        <v>0</v>
      </c>
      <c r="E91" s="23">
        <f>Zusatzeingaben!E91</f>
        <v>0</v>
      </c>
      <c r="F91" s="23">
        <f>Zusatzeingaben!F91</f>
        <v>0</v>
      </c>
      <c r="G91" s="23">
        <f>Zusatzeingaben!G91</f>
        <v>0</v>
      </c>
      <c r="H91" s="23">
        <f>Zusatzeingaben!H91</f>
        <v>0</v>
      </c>
      <c r="I91" s="23">
        <f>Zusatzeingaben!I91</f>
        <v>0</v>
      </c>
    </row>
    <row r="92" spans="1:31" s="2" customFormat="1" ht="16.5" hidden="1">
      <c r="A92" s="84"/>
      <c r="B92" s="22"/>
      <c r="C92" s="25">
        <f>IF(C91="ja",C23*35/100,0)</f>
        <v>0</v>
      </c>
      <c r="D92" s="25">
        <f>IF(D91="ja",D23*35/100,0)</f>
        <v>0</v>
      </c>
      <c r="E92" s="25">
        <f>IF(AND(E18&gt;14,E91="ja"),E33*35/100,0)</f>
        <v>0</v>
      </c>
      <c r="F92" s="25">
        <f>IF(AND(F18&gt;14,F91="ja"),F33*35/100,0)</f>
        <v>0</v>
      </c>
      <c r="G92" s="25">
        <f>IF(AND(G18&gt;14,G91="ja"),G33*35/100,0)</f>
        <v>0</v>
      </c>
      <c r="H92" s="25">
        <f>IF(AND(H18&gt;14,H91="ja"),H33*35/100,0)</f>
        <v>0</v>
      </c>
      <c r="I92" s="275">
        <f>IF(AND(I18&gt;14,I91="ja"),I33*35/100,0)</f>
        <v>0</v>
      </c>
    </row>
    <row r="93" spans="1:31" s="2" customFormat="1" ht="18.75" customHeight="1">
      <c r="A93" s="334" t="s">
        <v>24</v>
      </c>
      <c r="B93" s="604" t="s">
        <v>180</v>
      </c>
      <c r="C93" s="26">
        <f>Zusatzeingaben!C93</f>
        <v>0</v>
      </c>
      <c r="D93" s="26">
        <f>Zusatzeingaben!D93</f>
        <v>0</v>
      </c>
      <c r="E93" s="26">
        <f>Zusatzeingaben!E93</f>
        <v>0</v>
      </c>
      <c r="F93" s="26">
        <f>Zusatzeingaben!F93</f>
        <v>0</v>
      </c>
      <c r="G93" s="26">
        <f>Zusatzeingaben!G93</f>
        <v>0</v>
      </c>
      <c r="H93" s="26">
        <f>Zusatzeingaben!H93</f>
        <v>0</v>
      </c>
      <c r="I93" s="26">
        <f>Zusatzeingaben!I93</f>
        <v>0</v>
      </c>
    </row>
    <row r="94" spans="1:31" s="2" customFormat="1" ht="20.100000000000001" customHeight="1">
      <c r="A94" s="79" t="s">
        <v>42</v>
      </c>
      <c r="B94" s="22"/>
      <c r="C94" s="26">
        <f>Zusatzeingaben!C94</f>
        <v>0</v>
      </c>
      <c r="D94" s="26">
        <f>Zusatzeingaben!D94</f>
        <v>0</v>
      </c>
      <c r="E94" s="26">
        <f>Zusatzeingaben!E94</f>
        <v>0</v>
      </c>
      <c r="F94" s="26">
        <f>Zusatzeingaben!F94</f>
        <v>0</v>
      </c>
      <c r="G94" s="26">
        <f>Zusatzeingaben!G94</f>
        <v>0</v>
      </c>
      <c r="H94" s="26">
        <f>Zusatzeingaben!H94</f>
        <v>0</v>
      </c>
      <c r="I94" s="26">
        <f>Zusatzeingaben!I94</f>
        <v>0</v>
      </c>
    </row>
    <row r="95" spans="1:31" s="2" customFormat="1" ht="20.100000000000001" customHeight="1">
      <c r="A95" s="84" t="s">
        <v>56</v>
      </c>
      <c r="B95" s="258" t="str">
        <f>Zusatzeingaben!B95</f>
        <v>Nein</v>
      </c>
      <c r="C95" s="268">
        <f>C33*2.3/100</f>
        <v>9.407</v>
      </c>
      <c r="D95" s="268">
        <f>IF(AND(D22=17,D18=18),D25*2.3/100+D26*1.4/100,0)</f>
        <v>0</v>
      </c>
      <c r="E95" s="268">
        <f>IF(AND(E18=6,E16=5),E25*1.2%+E26*0.8%,IF(AND(E18=14,E16=13),E25*1.4%+E26*1.2%,IF(AND(E18=18,E16=17),E25*2.3%+E26*1.4%,IF(E18&gt;24,E33*2.3%,0))))</f>
        <v>0</v>
      </c>
      <c r="F95" s="268">
        <f>IF(AND(F18=6,F16=5),F25*1.2%+F26*0.8%,IF(AND(F18=14,F16=13),F25*1.4%+F26*1.2%,IF(AND(F18=18,F16=17),F25*2.3%+F26*1.4%,IF(F18&gt;24,F33*2.3%,0))))</f>
        <v>0</v>
      </c>
      <c r="G95" s="268">
        <f>IF(AND(G18=6,G16=5),G25*1.2%+G26*0.8%,IF(AND(G18=14,G16=13),G25*1.4%+G26*1.2%,IF(AND(G18=18,G16=17),G25*2.3%+G26*1.4%,IF(G18&gt;24,G33*2.3%,0))))</f>
        <v>0</v>
      </c>
      <c r="H95" s="268">
        <f>IF(AND(H18=6,H16=5),H25*1.2%+H26*0.8%,IF(AND(H18=14,H16=13),H25*1.4%+H26*1.2%,IF(AND(H18=18,H16=17),H25*2.3%+H26*1.4%,IF(H18&gt;24,H33*2.3%,0))))</f>
        <v>0</v>
      </c>
      <c r="I95" s="276">
        <f>IF(AND(I18=6,I16=5),I25*1.2%+I26*0.8%,IF(AND(I18=14,I16=13),I25*1.4%+I26*1.2%,IF(AND(I18=18,I16=17),I25*2.3%+I26*1.4%,IF(I18&gt;24,I33*2.3%,0))))</f>
        <v>0</v>
      </c>
    </row>
    <row r="96" spans="1:31" s="2" customFormat="1" ht="20.100000000000001" hidden="1" customHeight="1">
      <c r="A96" s="85"/>
      <c r="B96" s="260"/>
      <c r="C96" s="259"/>
      <c r="D96" s="259">
        <f>IF(D22&gt;17,D33*2.3/100,D95)</f>
        <v>0</v>
      </c>
      <c r="E96" s="259">
        <f>IF(E33=0,0,IF(E33&lt;224,E33*0.8%,IF(AND(E16&lt;6,E18&lt;6),E23*0.8/100,IF(AND(E16&lt;14,E18&lt;14),E23*1.2/100,IF(AND(E16&lt;18,E18&lt;18),E23*1.4/100,E23*2.3/100)))))</f>
        <v>0</v>
      </c>
      <c r="F96" s="259">
        <f>IF(F33=0,0,IF(F33&lt;224,F33*0.8%,IF(AND(F16&lt;6,F18&lt;6),F23*0.8/100,IF(AND(F16&lt;14,F18&lt;14),F23*1.2/100,IF(AND(F16&lt;18,F18&lt;18),F23*1.4/100,F23*2.3/100)))))</f>
        <v>0</v>
      </c>
      <c r="G96" s="259">
        <f>IF(G33=0,0,IF(G33&lt;224,G33*0.8%,IF(AND(G16&lt;6,G18&lt;6),G23*0.8/100,IF(AND(G16&lt;14,G18&lt;14),G23*1.2/100,IF(AND(G16&lt;18,G18&lt;18),G23*1.4/100,G23*2.3/100)))))</f>
        <v>0</v>
      </c>
      <c r="H96" s="259">
        <f>IF(H33=0,0,IF(H33&lt;224,H33*0.8%,IF(AND(H16&lt;6,H18&lt;6),H23*0.8/100,IF(AND(H16&lt;14,H18&lt;14),H23*1.2/100,IF(AND(H16&lt;18,H18&lt;18),H23*1.4/100,H23*2.3/100)))))</f>
        <v>0</v>
      </c>
      <c r="I96" s="277">
        <f>IF(I33=0,0,IF(I33&lt;224,I33*0.8%,IF(AND(I16&lt;6,I18&lt;6),I23*0.8/100,IF(AND(I16&lt;14,I18&lt;14),I23*1.2/100,IF(AND(I16&lt;18,I18&lt;18),I23*1.4/100,I23*2.3/100)))))</f>
        <v>0</v>
      </c>
    </row>
    <row r="97" spans="1:9" s="2" customFormat="1" ht="20.100000000000001" hidden="1" customHeight="1">
      <c r="A97" s="85"/>
      <c r="B97" s="260"/>
      <c r="C97" s="259"/>
      <c r="D97" s="259"/>
      <c r="E97" s="259">
        <f>IF(E95&gt;0,E95,E96)</f>
        <v>0</v>
      </c>
      <c r="F97" s="259">
        <f>IF(F95&gt;0,F95,F96)</f>
        <v>0</v>
      </c>
      <c r="G97" s="259">
        <f>IF(G95&gt;0,G95,G96)</f>
        <v>0</v>
      </c>
      <c r="H97" s="259">
        <f>IF(H95&gt;0,H95,H96)</f>
        <v>0</v>
      </c>
      <c r="I97" s="277">
        <f>IF(I95&gt;0,I95,I96)</f>
        <v>0</v>
      </c>
    </row>
    <row r="98" spans="1:9" s="2" customFormat="1" ht="16.5" hidden="1">
      <c r="A98" s="85"/>
      <c r="B98" s="27"/>
      <c r="C98" s="36">
        <f>IF(B95="ja",C95,0)</f>
        <v>0</v>
      </c>
      <c r="D98" s="36">
        <f>IF(B95="ja",D96,0)</f>
        <v>0</v>
      </c>
      <c r="E98" s="36">
        <f>IF(B95="ja",E97,0)</f>
        <v>0</v>
      </c>
      <c r="F98" s="36">
        <f>IF(B95="ja",F97,0)</f>
        <v>0</v>
      </c>
      <c r="G98" s="36">
        <f>IF(B95="ja",G97,0)</f>
        <v>0</v>
      </c>
      <c r="H98" s="36">
        <f>IF(B95="ja",H97,0)</f>
        <v>0</v>
      </c>
      <c r="I98" s="278">
        <f>IF(B95="ja",I97,0)</f>
        <v>0</v>
      </c>
    </row>
    <row r="99" spans="1:9" s="2" customFormat="1" ht="20.100000000000001" customHeight="1" thickBot="1">
      <c r="A99" s="279" t="s">
        <v>11</v>
      </c>
      <c r="B99" s="12"/>
      <c r="C99" s="29">
        <f>Zusatzeingaben!C99</f>
        <v>0</v>
      </c>
      <c r="D99" s="29">
        <f>Zusatzeingaben!D99</f>
        <v>0</v>
      </c>
      <c r="E99" s="29">
        <f>Zusatzeingaben!E99</f>
        <v>0</v>
      </c>
      <c r="F99" s="29">
        <f>Zusatzeingaben!F99</f>
        <v>0</v>
      </c>
      <c r="G99" s="29">
        <f>Zusatzeingaben!G99</f>
        <v>0</v>
      </c>
      <c r="H99" s="29">
        <f>Zusatzeingaben!H99</f>
        <v>0</v>
      </c>
      <c r="I99" s="29">
        <f>Zusatzeingaben!I99</f>
        <v>0</v>
      </c>
    </row>
    <row r="100" spans="1:9" s="2" customFormat="1" ht="17.25" hidden="1" thickBot="1">
      <c r="A100" s="271"/>
      <c r="B100" s="272"/>
      <c r="C100" s="273">
        <f t="shared" ref="C100:I100" si="32">IF(AND(C18&gt;14,C99="ja"),C33*17/100,0)</f>
        <v>0</v>
      </c>
      <c r="D100" s="273">
        <f t="shared" si="32"/>
        <v>0</v>
      </c>
      <c r="E100" s="273">
        <f t="shared" si="32"/>
        <v>0</v>
      </c>
      <c r="F100" s="273">
        <f t="shared" si="32"/>
        <v>0</v>
      </c>
      <c r="G100" s="273">
        <f t="shared" si="32"/>
        <v>0</v>
      </c>
      <c r="H100" s="273">
        <f t="shared" si="32"/>
        <v>0</v>
      </c>
      <c r="I100" s="274">
        <f t="shared" si="32"/>
        <v>0</v>
      </c>
    </row>
    <row r="101" spans="1:9" s="2" customFormat="1" ht="26.25" customHeight="1">
      <c r="A101" s="87" t="s">
        <v>13</v>
      </c>
      <c r="B101" s="630" t="s">
        <v>30</v>
      </c>
      <c r="C101" s="21"/>
      <c r="D101" s="21"/>
      <c r="E101" s="21"/>
      <c r="F101" s="21"/>
      <c r="G101" s="21"/>
      <c r="H101" s="21"/>
      <c r="I101" s="88"/>
    </row>
    <row r="102" spans="1:9" s="2" customFormat="1" ht="20.100000000000001" customHeight="1">
      <c r="A102" s="89" t="s">
        <v>14</v>
      </c>
      <c r="B102" s="26">
        <f>Zusatzeingaben!B102</f>
        <v>0</v>
      </c>
      <c r="C102" s="152">
        <f>B102/C5*B6</f>
        <v>0</v>
      </c>
      <c r="D102" s="24"/>
      <c r="E102" s="24"/>
      <c r="F102" s="24"/>
      <c r="G102" s="24"/>
      <c r="H102" s="24"/>
      <c r="I102" s="53"/>
    </row>
    <row r="103" spans="1:9" s="2" customFormat="1" ht="20.100000000000001" hidden="1" customHeight="1">
      <c r="A103" s="89" t="s">
        <v>55</v>
      </c>
      <c r="B103" s="26"/>
      <c r="C103" s="152">
        <f>B103/C5*B6</f>
        <v>0</v>
      </c>
      <c r="D103" s="24"/>
      <c r="E103" s="24"/>
      <c r="F103" s="24"/>
      <c r="G103" s="24"/>
      <c r="H103" s="24"/>
      <c r="I103" s="53"/>
    </row>
    <row r="104" spans="1:9" s="2" customFormat="1" ht="20.100000000000001" customHeight="1">
      <c r="A104" s="89" t="s">
        <v>15</v>
      </c>
      <c r="B104" s="26">
        <f>Zusatzeingaben!B104</f>
        <v>0</v>
      </c>
      <c r="C104" s="152">
        <f>IF(B102+B105+B106+B115&gt;0,B104/C5*B6,0)</f>
        <v>0</v>
      </c>
      <c r="D104" s="24"/>
      <c r="E104" s="24"/>
      <c r="F104" s="24"/>
      <c r="G104" s="24"/>
      <c r="H104" s="24"/>
      <c r="I104" s="53"/>
    </row>
    <row r="105" spans="1:9" s="2" customFormat="1" ht="20.100000000000001" customHeight="1">
      <c r="A105" s="89" t="s">
        <v>16</v>
      </c>
      <c r="B105" s="26">
        <f>Zusatzeingaben!B105</f>
        <v>0</v>
      </c>
      <c r="C105" s="152">
        <f>B105/C5*B6</f>
        <v>0</v>
      </c>
      <c r="D105" s="24"/>
      <c r="E105" s="24"/>
      <c r="F105" s="24"/>
      <c r="G105" s="24"/>
      <c r="H105" s="24"/>
      <c r="I105" s="53"/>
    </row>
    <row r="106" spans="1:9" s="2" customFormat="1" ht="20.100000000000001" customHeight="1">
      <c r="A106" s="89" t="s">
        <v>17</v>
      </c>
      <c r="B106" s="26">
        <f>Zusatzeingaben!B106</f>
        <v>0</v>
      </c>
      <c r="C106" s="152">
        <f>B106/C5*B6</f>
        <v>0</v>
      </c>
      <c r="D106" s="24"/>
      <c r="E106" s="24"/>
      <c r="F106" s="24"/>
      <c r="G106" s="24"/>
      <c r="H106" s="24"/>
      <c r="I106" s="53"/>
    </row>
    <row r="107" spans="1:9" s="2" customFormat="1" ht="20.100000000000001" customHeight="1">
      <c r="A107" s="90" t="s">
        <v>186</v>
      </c>
      <c r="B107" s="26">
        <f>Zusatzeingaben!B107</f>
        <v>0</v>
      </c>
      <c r="C107" s="152">
        <f>IF(B102+B105+B106+B115&gt;0,B107/C5*B6,0)</f>
        <v>0</v>
      </c>
      <c r="D107" s="20"/>
      <c r="E107" s="20"/>
      <c r="F107" s="20"/>
      <c r="G107" s="20"/>
      <c r="H107" s="20"/>
      <c r="I107" s="91"/>
    </row>
    <row r="108" spans="1:9" s="2" customFormat="1" ht="16.5" hidden="1">
      <c r="A108" s="92"/>
      <c r="B108" s="36"/>
      <c r="C108" s="24">
        <f>C107/B6</f>
        <v>0</v>
      </c>
      <c r="D108" s="24">
        <f>IF(D21&gt;0,C107/B6,0)</f>
        <v>0</v>
      </c>
      <c r="E108" s="24">
        <f>IF(E33&gt;0,C107/B6,0)</f>
        <v>0</v>
      </c>
      <c r="F108" s="24">
        <f>IF(F33&gt;0,C107/B6,0)</f>
        <v>0</v>
      </c>
      <c r="G108" s="24">
        <f>IF(G33&gt;0,C107/B6,0)</f>
        <v>0</v>
      </c>
      <c r="H108" s="24">
        <f>IF(H33&gt;0,C107/B6,0)</f>
        <v>0</v>
      </c>
      <c r="I108" s="53">
        <f>IF(I33&gt;0,C107/B6,0)</f>
        <v>0</v>
      </c>
    </row>
    <row r="109" spans="1:9" s="2" customFormat="1" ht="20.100000000000001" hidden="1" customHeight="1">
      <c r="A109" s="90" t="s">
        <v>62</v>
      </c>
      <c r="B109" s="23"/>
      <c r="C109" s="153"/>
      <c r="D109" s="20"/>
      <c r="E109" s="20"/>
      <c r="F109" s="20"/>
      <c r="G109" s="20"/>
      <c r="H109" s="20"/>
      <c r="I109" s="91"/>
    </row>
    <row r="110" spans="1:9" s="2" customFormat="1" ht="16.5" hidden="1">
      <c r="A110" s="92"/>
      <c r="B110" s="25"/>
      <c r="C110" s="259">
        <f>IF(C24&lt;C23,C33*7.772%,0)</f>
        <v>0</v>
      </c>
      <c r="D110" s="259">
        <f>IF(AND(D22=17,D18=18),D25*7.75%+D26*4.6%,0)</f>
        <v>0</v>
      </c>
      <c r="E110" s="259">
        <f>IF(E33=0,0,IF(AND(E16=0,E33&lt;224),E33*2.47%,IF(AND(E18=6,E16=5),E25*4.05%+E26*2.47%,IF(AND(E18=14,E16=13),E25*4.6%+E26*4.05%,IF(AND(E18=18,E16=17),E25*7.72%+E26*4.6%,IF(E18&gt;24,E33*7.72%,0))))))</f>
        <v>0</v>
      </c>
      <c r="F110" s="259">
        <f>IF(F33=0,0,IF(AND(F16=0,F33&lt;224),F33*2.47%,IF(AND(F18=6,F16=5),F25*4.05%+F26*2.47%,IF(AND(F18=14,F16=13),F25*4.6%+F26*4.05%,IF(AND(F18=18,F16=17),F25*7.72%+F26*4.6%,IF(F18&gt;24,F33*7.72%,0))))))</f>
        <v>0</v>
      </c>
      <c r="G110" s="259">
        <f>IF(G33=0,0,IF(AND(G16=0,G33&lt;224),G33*2.47%,IF(AND(G18=6,G16=5),G25*4.05%+G26*2.47%,IF(AND(G18=14,G16=13),G25*4.6%+G26*4.05%,IF(AND(G18=18,G16=17),G25*7.72%+G26*4.6%,IF(G18&gt;24,G33*7.72%,0))))))</f>
        <v>0</v>
      </c>
      <c r="H110" s="259">
        <f>IF(H33=0,0,IF(AND(H16=0,H33&lt;224),H33*2.47%,IF(AND(H18=6,H16=5),H25*4.05%+H26*2.47%,IF(AND(H18=14,H16=13),H25*4.6%+H26*4.05%,IF(AND(H18=18,H16=17),H25*7.72%+H26*4.6%,IF(H18&gt;24,H33*7.72%,0))))))</f>
        <v>0</v>
      </c>
      <c r="I110" s="259">
        <f>IF(I33=0,0,IF(AND(I16=0,I33&lt;224),I33*2.47%,IF(AND(I18=6,I16=5),I25*4.05%+I26*2.47%,IF(AND(I18=14,I16=13),I25*4.6%+I26*4.05%,IF(AND(I18=18,I16=17),I25*7.72%+I26*4.6%,IF(I18&gt;24,I33*7.72%,0))))))</f>
        <v>0</v>
      </c>
    </row>
    <row r="111" spans="1:9" s="2" customFormat="1" ht="16.5" hidden="1">
      <c r="A111" s="92"/>
      <c r="B111" s="25"/>
      <c r="C111" s="442">
        <f>VLOOKUP(C23,Bedarfssätze!B67:C84,2)</f>
        <v>31.01</v>
      </c>
      <c r="D111" s="442" t="e">
        <f>VLOOKUP(D23,Bedarfssätze!B67:C84,2)</f>
        <v>#N/A</v>
      </c>
      <c r="E111" s="442" t="e">
        <f>VLOOKUP(E23,Bedarfssätze!B67:C84,2)</f>
        <v>#N/A</v>
      </c>
      <c r="F111" s="442" t="e">
        <f>VLOOKUP(F23,Bedarfssätze!B67:C84,2)</f>
        <v>#N/A</v>
      </c>
      <c r="G111" s="442" t="e">
        <f>VLOOKUP(G23,Bedarfssätze!B67:C84,2)</f>
        <v>#N/A</v>
      </c>
      <c r="H111" s="442" t="e">
        <f>VLOOKUP(H23,Bedarfssätze!B67:C84,2)</f>
        <v>#N/A</v>
      </c>
      <c r="I111" s="443" t="e">
        <f>VLOOKUP(I23,Bedarfssätze!B67:C84,2)</f>
        <v>#N/A</v>
      </c>
    </row>
    <row r="112" spans="1:9" s="2" customFormat="1" ht="16.5" hidden="1">
      <c r="A112" s="92"/>
      <c r="B112" s="25"/>
      <c r="C112" s="259">
        <f>IF(AND(D110=0,C111&gt;C110),C111,C110)</f>
        <v>31.01</v>
      </c>
      <c r="D112" s="259" t="e">
        <f t="shared" ref="D112:I112" si="33">IF(D110&gt;0,D110,D111)</f>
        <v>#N/A</v>
      </c>
      <c r="E112" s="259" t="e">
        <f t="shared" si="33"/>
        <v>#N/A</v>
      </c>
      <c r="F112" s="259" t="e">
        <f t="shared" si="33"/>
        <v>#N/A</v>
      </c>
      <c r="G112" s="259" t="e">
        <f t="shared" si="33"/>
        <v>#N/A</v>
      </c>
      <c r="H112" s="259" t="e">
        <f t="shared" si="33"/>
        <v>#N/A</v>
      </c>
      <c r="I112" s="259" t="e">
        <f t="shared" si="33"/>
        <v>#N/A</v>
      </c>
    </row>
    <row r="113" spans="1:9" s="2" customFormat="1" ht="16.5" hidden="1">
      <c r="A113" s="92"/>
      <c r="B113" s="25"/>
      <c r="C113" s="24">
        <f>IF(AND(B102+B105+B106+B115&gt;0,B109="ja"),C112,0)</f>
        <v>0</v>
      </c>
      <c r="D113" s="24">
        <f>IF(AND(B102+B105+B106+B115&gt;0,D21&gt;0,B109="ja"),D112,0)</f>
        <v>0</v>
      </c>
      <c r="E113" s="24">
        <f>IF(AND($B$102+$B$105+$B$106+$B$115&gt;0,E33&gt;0,$B$109="ja"),E112,0)</f>
        <v>0</v>
      </c>
      <c r="F113" s="24">
        <f>IF(AND($B$102+$B$105+$B$106+$B$115&gt;0,F33&gt;0,$B$109="ja"),F112,0)</f>
        <v>0</v>
      </c>
      <c r="G113" s="24">
        <f>IF(AND($B$102+$B$105+$B$106+$B$115&gt;0,G33&gt;0,$B$109="ja"),G112,0)</f>
        <v>0</v>
      </c>
      <c r="H113" s="24">
        <f>IF(AND($B$102+$B$105+$B$106+$B$115&gt;0,H33&gt;0,$B$109="ja"),H112,0)</f>
        <v>0</v>
      </c>
      <c r="I113" s="24">
        <f>IF(AND($B$102+$B$105+$B$106+$B$115&gt;0,I33&gt;0,$B$109="ja"),I112,0)</f>
        <v>0</v>
      </c>
    </row>
    <row r="114" spans="1:9" s="2" customFormat="1" ht="16.5" hidden="1">
      <c r="A114" s="92"/>
      <c r="B114" s="25"/>
      <c r="C114" s="38">
        <f t="shared" ref="C114:I114" si="34">C108+C113</f>
        <v>0</v>
      </c>
      <c r="D114" s="38">
        <f t="shared" si="34"/>
        <v>0</v>
      </c>
      <c r="E114" s="38">
        <f t="shared" si="34"/>
        <v>0</v>
      </c>
      <c r="F114" s="38">
        <f t="shared" si="34"/>
        <v>0</v>
      </c>
      <c r="G114" s="38">
        <f t="shared" si="34"/>
        <v>0</v>
      </c>
      <c r="H114" s="38">
        <f t="shared" si="34"/>
        <v>0</v>
      </c>
      <c r="I114" s="93">
        <f t="shared" si="34"/>
        <v>0</v>
      </c>
    </row>
    <row r="115" spans="1:9" s="2" customFormat="1" ht="20.100000000000001" customHeight="1" thickBot="1">
      <c r="A115" s="94" t="s">
        <v>18</v>
      </c>
      <c r="B115" s="39">
        <f>Zusatzeingaben!B115</f>
        <v>0</v>
      </c>
      <c r="C115" s="154">
        <f>B115/C5*B6</f>
        <v>0</v>
      </c>
      <c r="D115" s="28"/>
      <c r="E115" s="28"/>
      <c r="F115" s="28"/>
      <c r="G115" s="28"/>
      <c r="H115" s="28"/>
      <c r="I115" s="54"/>
    </row>
    <row r="116" spans="1:9" s="2" customFormat="1" ht="18.75">
      <c r="A116" s="95" t="s">
        <v>20</v>
      </c>
      <c r="B116" s="630" t="s">
        <v>30</v>
      </c>
      <c r="C116" s="21"/>
      <c r="D116" s="21"/>
      <c r="E116" s="21"/>
      <c r="F116" s="21"/>
      <c r="G116" s="21"/>
      <c r="H116" s="21"/>
      <c r="I116" s="88"/>
    </row>
    <row r="117" spans="1:9" s="2" customFormat="1" ht="20.100000000000001" customHeight="1" thickBot="1">
      <c r="A117" s="94" t="s">
        <v>184</v>
      </c>
      <c r="B117" s="12"/>
      <c r="C117" s="39">
        <f>Zusatzeingaben!C117</f>
        <v>0</v>
      </c>
      <c r="D117" s="39">
        <f>Zusatzeingaben!D117</f>
        <v>0</v>
      </c>
      <c r="E117" s="39">
        <f>Zusatzeingaben!E117</f>
        <v>0</v>
      </c>
      <c r="F117" s="39">
        <f>Zusatzeingaben!F117</f>
        <v>0</v>
      </c>
      <c r="G117" s="39">
        <f>Zusatzeingaben!G117</f>
        <v>0</v>
      </c>
      <c r="H117" s="39">
        <f>Zusatzeingaben!H117</f>
        <v>0</v>
      </c>
      <c r="I117" s="39">
        <f>Zusatzeingaben!I117</f>
        <v>0</v>
      </c>
    </row>
    <row r="118" spans="1:9" s="2" customFormat="1" ht="17.25" thickBot="1">
      <c r="C118" s="14"/>
      <c r="D118" s="14"/>
      <c r="E118" s="14"/>
      <c r="F118" s="14"/>
      <c r="G118" s="14"/>
      <c r="H118" s="14"/>
    </row>
    <row r="119" spans="1:9" s="2" customFormat="1" ht="20.25">
      <c r="A119" s="100"/>
      <c r="B119" s="101" t="s">
        <v>22</v>
      </c>
      <c r="C119" s="102"/>
      <c r="D119" s="102"/>
      <c r="E119" s="102"/>
      <c r="F119" s="102"/>
      <c r="G119" s="102"/>
      <c r="H119" s="102"/>
      <c r="I119" s="103"/>
    </row>
    <row r="120" spans="1:9" s="2" customFormat="1" ht="21.95" customHeight="1" thickBot="1">
      <c r="A120" s="104" t="s">
        <v>65</v>
      </c>
      <c r="B120" s="352" t="s">
        <v>30</v>
      </c>
      <c r="C120" s="352" t="str">
        <f>C4</f>
        <v>Antragsteller</v>
      </c>
      <c r="D120" s="352" t="str">
        <f>D4</f>
        <v>Partner(in)</v>
      </c>
      <c r="E120" s="352" t="str">
        <f>E4</f>
        <v>Kind 1</v>
      </c>
      <c r="F120" s="352" t="s">
        <v>8</v>
      </c>
      <c r="G120" s="352" t="s">
        <v>9</v>
      </c>
      <c r="H120" s="352" t="s">
        <v>10</v>
      </c>
      <c r="I120" s="353" t="s">
        <v>34</v>
      </c>
    </row>
    <row r="121" spans="1:9" s="5" customFormat="1" ht="20.100000000000001" customHeight="1">
      <c r="A121" s="264" t="s">
        <v>82</v>
      </c>
      <c r="B121" s="121"/>
      <c r="C121" s="121"/>
      <c r="D121" s="121"/>
      <c r="E121" s="121"/>
      <c r="F121" s="121"/>
      <c r="G121" s="121"/>
      <c r="H121" s="121"/>
      <c r="I121" s="122"/>
    </row>
    <row r="122" spans="1:9" s="2" customFormat="1" ht="20.100000000000001" customHeight="1">
      <c r="A122" s="105" t="s">
        <v>192</v>
      </c>
      <c r="B122" s="41"/>
      <c r="C122" s="42">
        <f>Zusatzeingaben!C122</f>
        <v>21</v>
      </c>
      <c r="D122" s="42">
        <f>Zusatzeingaben!D122</f>
        <v>21</v>
      </c>
      <c r="E122" s="42">
        <f>Zusatzeingaben!E122</f>
        <v>21</v>
      </c>
      <c r="F122" s="42">
        <f>Zusatzeingaben!F122</f>
        <v>21</v>
      </c>
      <c r="G122" s="42">
        <f>Zusatzeingaben!G122</f>
        <v>21</v>
      </c>
      <c r="H122" s="42">
        <f>Zusatzeingaben!H122</f>
        <v>21</v>
      </c>
      <c r="I122" s="42">
        <f>Zusatzeingaben!I122</f>
        <v>21</v>
      </c>
    </row>
    <row r="123" spans="1:9" s="2" customFormat="1" ht="20.100000000000001" customHeight="1">
      <c r="A123" s="107" t="s">
        <v>76</v>
      </c>
      <c r="B123" s="22"/>
      <c r="C123" s="42">
        <f>Zusatzeingaben!C123</f>
        <v>0</v>
      </c>
      <c r="D123" s="42">
        <f>Zusatzeingaben!D123</f>
        <v>0</v>
      </c>
      <c r="E123" s="42">
        <f>Zusatzeingaben!E123</f>
        <v>0</v>
      </c>
      <c r="F123" s="42">
        <f>Zusatzeingaben!F123</f>
        <v>0</v>
      </c>
      <c r="G123" s="42">
        <f>Zusatzeingaben!G123</f>
        <v>0</v>
      </c>
      <c r="H123" s="42">
        <f>Zusatzeingaben!H123</f>
        <v>0</v>
      </c>
      <c r="I123" s="42">
        <f>Zusatzeingaben!I123</f>
        <v>0</v>
      </c>
    </row>
    <row r="124" spans="1:9" s="5" customFormat="1" ht="20.100000000000001" hidden="1" customHeight="1">
      <c r="A124" s="138" t="s">
        <v>93</v>
      </c>
      <c r="B124" s="22"/>
      <c r="C124" s="140">
        <f>C123*6</f>
        <v>0</v>
      </c>
      <c r="D124" s="140">
        <f t="shared" ref="D124:I124" si="35">D123*6</f>
        <v>0</v>
      </c>
      <c r="E124" s="140">
        <f t="shared" si="35"/>
        <v>0</v>
      </c>
      <c r="F124" s="140">
        <f t="shared" si="35"/>
        <v>0</v>
      </c>
      <c r="G124" s="140">
        <f t="shared" si="35"/>
        <v>0</v>
      </c>
      <c r="H124" s="140">
        <f t="shared" si="35"/>
        <v>0</v>
      </c>
      <c r="I124" s="189">
        <f t="shared" si="35"/>
        <v>0</v>
      </c>
    </row>
    <row r="125" spans="1:9" s="2" customFormat="1" ht="20.100000000000001" customHeight="1" thickBot="1">
      <c r="A125" s="265" t="s">
        <v>83</v>
      </c>
      <c r="B125" s="12"/>
      <c r="C125" s="637">
        <f>Zusatzeingaben!C125</f>
        <v>0</v>
      </c>
      <c r="D125" s="637">
        <f>Zusatzeingaben!D125</f>
        <v>0</v>
      </c>
      <c r="E125" s="637">
        <f>Zusatzeingaben!E125</f>
        <v>0</v>
      </c>
      <c r="F125" s="637">
        <f>Zusatzeingaben!F125</f>
        <v>0</v>
      </c>
      <c r="G125" s="637">
        <f>Zusatzeingaben!G125</f>
        <v>0</v>
      </c>
      <c r="H125" s="637">
        <f>Zusatzeingaben!H125</f>
        <v>0</v>
      </c>
      <c r="I125" s="637">
        <f>Zusatzeingaben!I125</f>
        <v>0</v>
      </c>
    </row>
    <row r="126" spans="1:9" s="5" customFormat="1" ht="20.100000000000001" hidden="1" customHeight="1">
      <c r="A126" s="636" t="s">
        <v>31</v>
      </c>
      <c r="B126" s="40"/>
      <c r="C126" s="128">
        <f t="shared" ref="C126:I126" si="36">C122*C125*0.2</f>
        <v>0</v>
      </c>
      <c r="D126" s="128">
        <f t="shared" si="36"/>
        <v>0</v>
      </c>
      <c r="E126" s="128">
        <f t="shared" si="36"/>
        <v>0</v>
      </c>
      <c r="F126" s="128">
        <f t="shared" si="36"/>
        <v>0</v>
      </c>
      <c r="G126" s="128">
        <f t="shared" si="36"/>
        <v>0</v>
      </c>
      <c r="H126" s="128">
        <f t="shared" si="36"/>
        <v>0</v>
      </c>
      <c r="I126" s="190">
        <f t="shared" si="36"/>
        <v>0</v>
      </c>
    </row>
    <row r="127" spans="1:9" s="2" customFormat="1" ht="20.100000000000001" hidden="1" customHeight="1">
      <c r="A127" s="111"/>
      <c r="B127" s="3"/>
      <c r="C127" s="198">
        <f t="shared" ref="C127:I127" si="37">MAX(C126,C142)</f>
        <v>0</v>
      </c>
      <c r="D127" s="198">
        <f t="shared" si="37"/>
        <v>0</v>
      </c>
      <c r="E127" s="198">
        <f t="shared" si="37"/>
        <v>0</v>
      </c>
      <c r="F127" s="198">
        <f t="shared" si="37"/>
        <v>0</v>
      </c>
      <c r="G127" s="198">
        <f t="shared" si="37"/>
        <v>0</v>
      </c>
      <c r="H127" s="198">
        <f t="shared" si="37"/>
        <v>0</v>
      </c>
      <c r="I127" s="198">
        <f t="shared" si="37"/>
        <v>0</v>
      </c>
    </row>
    <row r="128" spans="1:9" s="2" customFormat="1" ht="20.100000000000001" customHeight="1">
      <c r="A128" s="118" t="s">
        <v>54</v>
      </c>
      <c r="B128" s="49"/>
      <c r="C128" s="50">
        <f>Zusatzeingaben!C128</f>
        <v>0</v>
      </c>
      <c r="D128" s="50">
        <f>Zusatzeingaben!D128</f>
        <v>0</v>
      </c>
      <c r="E128" s="50">
        <f>Zusatzeingaben!E128</f>
        <v>0</v>
      </c>
      <c r="F128" s="50">
        <f>Zusatzeingaben!F128</f>
        <v>0</v>
      </c>
      <c r="G128" s="50">
        <f>Zusatzeingaben!G128</f>
        <v>0</v>
      </c>
      <c r="H128" s="50">
        <f>Zusatzeingaben!H128</f>
        <v>0</v>
      </c>
      <c r="I128" s="50">
        <f>Zusatzeingaben!I128</f>
        <v>0</v>
      </c>
    </row>
    <row r="129" spans="1:9" s="2" customFormat="1" ht="20.100000000000001" customHeight="1">
      <c r="A129" s="666" t="s">
        <v>60</v>
      </c>
      <c r="B129" s="22"/>
      <c r="C129" s="23">
        <f>Zusatzeingaben!C129</f>
        <v>0</v>
      </c>
      <c r="D129" s="23">
        <f>Zusatzeingaben!D129</f>
        <v>0</v>
      </c>
      <c r="E129" s="23">
        <f>Zusatzeingaben!E129</f>
        <v>0</v>
      </c>
      <c r="F129" s="23">
        <f>Zusatzeingaben!F129</f>
        <v>0</v>
      </c>
      <c r="G129" s="23">
        <f>Zusatzeingaben!G129</f>
        <v>0</v>
      </c>
      <c r="H129" s="23">
        <f>Zusatzeingaben!H129</f>
        <v>0</v>
      </c>
      <c r="I129" s="23">
        <f>Zusatzeingaben!I129</f>
        <v>0</v>
      </c>
    </row>
    <row r="130" spans="1:9" s="2" customFormat="1" ht="20.100000000000001" customHeight="1">
      <c r="A130" s="664" t="s">
        <v>88</v>
      </c>
      <c r="B130" s="62"/>
      <c r="C130" s="62">
        <f t="shared" ref="C130:I130" si="38">IF(C129="vollverpflegung",C33*C122*1%,IF(C129="frühstück",C33*C122*0.2%,IF(C129="mittagessen",C33*C122*0.4%,IF(C129="abendessen",C33*C122*0.4%,0))))</f>
        <v>0</v>
      </c>
      <c r="D130" s="62">
        <f t="shared" si="38"/>
        <v>0</v>
      </c>
      <c r="E130" s="62">
        <f t="shared" si="38"/>
        <v>0</v>
      </c>
      <c r="F130" s="62">
        <f t="shared" si="38"/>
        <v>0</v>
      </c>
      <c r="G130" s="62">
        <f t="shared" si="38"/>
        <v>0</v>
      </c>
      <c r="H130" s="62">
        <f t="shared" si="38"/>
        <v>0</v>
      </c>
      <c r="I130" s="110">
        <f t="shared" si="38"/>
        <v>0</v>
      </c>
    </row>
    <row r="131" spans="1:9" s="2" customFormat="1" ht="16.5" hidden="1">
      <c r="A131" s="125" t="s">
        <v>87</v>
      </c>
      <c r="B131" s="62"/>
      <c r="C131" s="62">
        <f>C128+C130</f>
        <v>0</v>
      </c>
      <c r="D131" s="62">
        <f t="shared" ref="D131:I131" si="39">D128+D130</f>
        <v>0</v>
      </c>
      <c r="E131" s="62">
        <f t="shared" si="39"/>
        <v>0</v>
      </c>
      <c r="F131" s="62">
        <f t="shared" si="39"/>
        <v>0</v>
      </c>
      <c r="G131" s="62">
        <f t="shared" si="39"/>
        <v>0</v>
      </c>
      <c r="H131" s="62">
        <f t="shared" si="39"/>
        <v>0</v>
      </c>
      <c r="I131" s="110">
        <f t="shared" si="39"/>
        <v>0</v>
      </c>
    </row>
    <row r="132" spans="1:9" s="2" customFormat="1" ht="20.100000000000001" customHeight="1">
      <c r="A132" s="108" t="s">
        <v>53</v>
      </c>
      <c r="B132" s="22"/>
      <c r="C132" s="26">
        <f>Zusatzeingaben!C132</f>
        <v>0</v>
      </c>
      <c r="D132" s="26">
        <f>Zusatzeingaben!D132</f>
        <v>0</v>
      </c>
      <c r="E132" s="26">
        <f>Zusatzeingaben!E132</f>
        <v>0</v>
      </c>
      <c r="F132" s="26">
        <f>Zusatzeingaben!F132</f>
        <v>0</v>
      </c>
      <c r="G132" s="26">
        <f>Zusatzeingaben!G132</f>
        <v>0</v>
      </c>
      <c r="H132" s="26">
        <f>Zusatzeingaben!H132</f>
        <v>0</v>
      </c>
      <c r="I132" s="26">
        <f>Zusatzeingaben!I132</f>
        <v>0</v>
      </c>
    </row>
    <row r="133" spans="1:9" s="2" customFormat="1" ht="16.5" customHeight="1">
      <c r="A133" s="126" t="s">
        <v>89</v>
      </c>
      <c r="B133" s="55"/>
      <c r="C133" s="57">
        <f>C130+C132</f>
        <v>0</v>
      </c>
      <c r="D133" s="57">
        <f t="shared" ref="D133:I133" si="40">D130+D132</f>
        <v>0</v>
      </c>
      <c r="E133" s="57">
        <f t="shared" si="40"/>
        <v>0</v>
      </c>
      <c r="F133" s="57">
        <f t="shared" si="40"/>
        <v>0</v>
      </c>
      <c r="G133" s="57">
        <f t="shared" si="40"/>
        <v>0</v>
      </c>
      <c r="H133" s="57">
        <f t="shared" si="40"/>
        <v>0</v>
      </c>
      <c r="I133" s="114">
        <f t="shared" si="40"/>
        <v>0</v>
      </c>
    </row>
    <row r="134" spans="1:9" s="2" customFormat="1" ht="16.5" customHeight="1">
      <c r="A134" s="105" t="s">
        <v>106</v>
      </c>
      <c r="B134" s="22"/>
      <c r="C134" s="26">
        <f>einmaligesEK!C14</f>
        <v>0</v>
      </c>
      <c r="D134" s="26">
        <f>einmaligesEK!D14</f>
        <v>0</v>
      </c>
      <c r="E134" s="26">
        <f>einmaligesEK!E14</f>
        <v>0</v>
      </c>
      <c r="F134" s="26">
        <f>einmaligesEK!F14</f>
        <v>0</v>
      </c>
      <c r="G134" s="26">
        <f>einmaligesEK!G14</f>
        <v>0</v>
      </c>
      <c r="H134" s="26">
        <f>einmaligesEK!H14</f>
        <v>0</v>
      </c>
      <c r="I134" s="26">
        <f>einmaligesEK!I14</f>
        <v>0</v>
      </c>
    </row>
    <row r="135" spans="1:9" s="2" customFormat="1" ht="17.25" customHeight="1" thickBot="1">
      <c r="A135" s="120" t="s">
        <v>107</v>
      </c>
      <c r="B135" s="266"/>
      <c r="C135" s="26">
        <f>einmaligesEK!C15</f>
        <v>0</v>
      </c>
      <c r="D135" s="26">
        <f>einmaligesEK!D15</f>
        <v>0</v>
      </c>
      <c r="E135" s="26">
        <f>einmaligesEK!E15</f>
        <v>0</v>
      </c>
      <c r="F135" s="26">
        <f>einmaligesEK!F15</f>
        <v>0</v>
      </c>
      <c r="G135" s="26">
        <f>einmaligesEK!G15</f>
        <v>0</v>
      </c>
      <c r="H135" s="26">
        <f>einmaligesEK!H15</f>
        <v>0</v>
      </c>
      <c r="I135" s="26">
        <f>einmaligesEK!I15</f>
        <v>0</v>
      </c>
    </row>
    <row r="136" spans="1:9" s="2" customFormat="1" ht="20.100000000000001" customHeight="1">
      <c r="A136" s="117" t="s">
        <v>69</v>
      </c>
      <c r="B136" s="40"/>
      <c r="C136" s="43">
        <f>Zusatzeingaben!C136</f>
        <v>0</v>
      </c>
      <c r="D136" s="43">
        <f>Zusatzeingaben!D136</f>
        <v>0</v>
      </c>
      <c r="E136" s="43">
        <f>Zusatzeingaben!E136</f>
        <v>0</v>
      </c>
      <c r="F136" s="43">
        <f>Zusatzeingaben!F136</f>
        <v>0</v>
      </c>
      <c r="G136" s="43">
        <f>Zusatzeingaben!G136</f>
        <v>0</v>
      </c>
      <c r="H136" s="43">
        <f>Zusatzeingaben!H136</f>
        <v>0</v>
      </c>
      <c r="I136" s="43">
        <f>Zusatzeingaben!I136</f>
        <v>0</v>
      </c>
    </row>
    <row r="137" spans="1:9" s="2" customFormat="1" ht="20.100000000000001" customHeight="1" thickBot="1">
      <c r="A137" s="120" t="s">
        <v>70</v>
      </c>
      <c r="B137" s="12"/>
      <c r="C137" s="39">
        <f>Zusatzeingaben!C137</f>
        <v>0</v>
      </c>
      <c r="D137" s="39">
        <f>Zusatzeingaben!D137</f>
        <v>0</v>
      </c>
      <c r="E137" s="39">
        <f>Zusatzeingaben!E137</f>
        <v>0</v>
      </c>
      <c r="F137" s="39">
        <f>Zusatzeingaben!F137</f>
        <v>0</v>
      </c>
      <c r="G137" s="39">
        <f>Zusatzeingaben!G137</f>
        <v>0</v>
      </c>
      <c r="H137" s="39">
        <f>Zusatzeingaben!H137</f>
        <v>0</v>
      </c>
      <c r="I137" s="39">
        <f>Zusatzeingaben!I137</f>
        <v>0</v>
      </c>
    </row>
    <row r="138" spans="1:9" s="2" customFormat="1" ht="20.100000000000001" customHeight="1" thickBot="1">
      <c r="A138" s="638" t="s">
        <v>126</v>
      </c>
      <c r="B138" s="49"/>
      <c r="C138" s="50">
        <f>Zusatzeingaben!C138</f>
        <v>0</v>
      </c>
      <c r="D138" s="50">
        <f>Zusatzeingaben!D138</f>
        <v>0</v>
      </c>
      <c r="E138" s="50">
        <f>Zusatzeingaben!E138</f>
        <v>0</v>
      </c>
      <c r="F138" s="50">
        <f>Zusatzeingaben!F138</f>
        <v>0</v>
      </c>
      <c r="G138" s="50">
        <f>Zusatzeingaben!G138</f>
        <v>0</v>
      </c>
      <c r="H138" s="50">
        <f>Zusatzeingaben!H138</f>
        <v>0</v>
      </c>
      <c r="I138" s="50">
        <f>Zusatzeingaben!I138</f>
        <v>0</v>
      </c>
    </row>
    <row r="139" spans="1:9" s="2" customFormat="1" ht="20.100000000000001" customHeight="1">
      <c r="A139" s="90" t="s">
        <v>187</v>
      </c>
      <c r="B139" s="22"/>
      <c r="C139" s="50">
        <f>Zusatzeingaben!C139</f>
        <v>0</v>
      </c>
      <c r="D139" s="50">
        <f>Zusatzeingaben!D139</f>
        <v>0</v>
      </c>
      <c r="E139" s="50">
        <f>Zusatzeingaben!E139</f>
        <v>0</v>
      </c>
      <c r="F139" s="50">
        <f>Zusatzeingaben!F139</f>
        <v>0</v>
      </c>
      <c r="G139" s="50">
        <f>Zusatzeingaben!G139</f>
        <v>0</v>
      </c>
      <c r="H139" s="50">
        <f>Zusatzeingaben!H139</f>
        <v>0</v>
      </c>
      <c r="I139" s="50">
        <f>Zusatzeingaben!I139</f>
        <v>0</v>
      </c>
    </row>
    <row r="140" spans="1:9" s="5" customFormat="1" ht="20.100000000000001" customHeight="1">
      <c r="A140" s="92" t="s">
        <v>101</v>
      </c>
      <c r="B140" s="22"/>
      <c r="C140" s="58">
        <f>C131+C136+C139</f>
        <v>0</v>
      </c>
      <c r="D140" s="58">
        <f t="shared" ref="D140:I140" si="41">D131+D136+D139</f>
        <v>0</v>
      </c>
      <c r="E140" s="58">
        <f t="shared" si="41"/>
        <v>0</v>
      </c>
      <c r="F140" s="58">
        <f t="shared" si="41"/>
        <v>0</v>
      </c>
      <c r="G140" s="58">
        <f t="shared" si="41"/>
        <v>0</v>
      </c>
      <c r="H140" s="58">
        <f t="shared" si="41"/>
        <v>0</v>
      </c>
      <c r="I140" s="639">
        <f t="shared" si="41"/>
        <v>0</v>
      </c>
    </row>
    <row r="141" spans="1:9" s="2" customFormat="1" ht="20.100000000000001" customHeight="1">
      <c r="A141" s="92" t="s">
        <v>100</v>
      </c>
      <c r="B141" s="22"/>
      <c r="C141" s="128">
        <f>C133+C135+C137+C138+C139</f>
        <v>0</v>
      </c>
      <c r="D141" s="128">
        <f t="shared" ref="D141:I141" si="42">D133+D135+D137+D138+D139</f>
        <v>0</v>
      </c>
      <c r="E141" s="128">
        <f t="shared" si="42"/>
        <v>0</v>
      </c>
      <c r="F141" s="128">
        <f t="shared" si="42"/>
        <v>0</v>
      </c>
      <c r="G141" s="128">
        <f t="shared" si="42"/>
        <v>0</v>
      </c>
      <c r="H141" s="128">
        <f t="shared" si="42"/>
        <v>0</v>
      </c>
      <c r="I141" s="128">
        <f t="shared" si="42"/>
        <v>0</v>
      </c>
    </row>
    <row r="142" spans="1:9" s="2" customFormat="1" ht="20.100000000000001" customHeight="1">
      <c r="A142" s="90" t="s">
        <v>188</v>
      </c>
      <c r="B142" s="22"/>
      <c r="C142" s="129">
        <f>Zusatzeingaben!C142</f>
        <v>0</v>
      </c>
      <c r="D142" s="129">
        <f>Zusatzeingaben!D142</f>
        <v>0</v>
      </c>
      <c r="E142" s="129">
        <f>Zusatzeingaben!E142</f>
        <v>0</v>
      </c>
      <c r="F142" s="129">
        <f>Zusatzeingaben!F142</f>
        <v>0</v>
      </c>
      <c r="G142" s="129">
        <f>Zusatzeingaben!G142</f>
        <v>0</v>
      </c>
      <c r="H142" s="129">
        <f>Zusatzeingaben!H142</f>
        <v>0</v>
      </c>
      <c r="I142" s="129">
        <f>Zusatzeingaben!I142</f>
        <v>0</v>
      </c>
    </row>
    <row r="143" spans="1:9" s="2" customFormat="1" ht="20.100000000000001" customHeight="1" thickBot="1">
      <c r="A143" s="177" t="s">
        <v>190</v>
      </c>
      <c r="B143" s="12"/>
      <c r="C143" s="129">
        <f>Zusatzeingaben!C143</f>
        <v>0</v>
      </c>
      <c r="D143" s="129">
        <f>Zusatzeingaben!D143</f>
        <v>0</v>
      </c>
      <c r="E143" s="129">
        <f>Zusatzeingaben!E143</f>
        <v>0</v>
      </c>
      <c r="F143" s="129">
        <f>Zusatzeingaben!F143</f>
        <v>0</v>
      </c>
      <c r="G143" s="129">
        <f>Zusatzeingaben!G143</f>
        <v>0</v>
      </c>
      <c r="H143" s="129">
        <f>Zusatzeingaben!H143</f>
        <v>0</v>
      </c>
      <c r="I143" s="129">
        <f>Zusatzeingaben!I143</f>
        <v>0</v>
      </c>
    </row>
    <row r="144" spans="1:9" s="2" customFormat="1" ht="20.100000000000001" hidden="1" customHeight="1">
      <c r="A144" s="620" t="s">
        <v>201</v>
      </c>
      <c r="B144" s="621"/>
      <c r="C144" s="622">
        <f t="shared" ref="C144:I144" si="43">IF(C131&gt;400,C143,0)</f>
        <v>0</v>
      </c>
      <c r="D144" s="622">
        <f t="shared" si="43"/>
        <v>0</v>
      </c>
      <c r="E144" s="622">
        <f t="shared" si="43"/>
        <v>0</v>
      </c>
      <c r="F144" s="622">
        <f t="shared" si="43"/>
        <v>0</v>
      </c>
      <c r="G144" s="622">
        <f t="shared" si="43"/>
        <v>0</v>
      </c>
      <c r="H144" s="622">
        <f t="shared" si="43"/>
        <v>0</v>
      </c>
      <c r="I144" s="622">
        <f t="shared" si="43"/>
        <v>0</v>
      </c>
    </row>
    <row r="145" spans="1:12" s="2" customFormat="1" ht="20.100000000000001" hidden="1" customHeight="1">
      <c r="A145" s="193"/>
      <c r="B145" s="130"/>
      <c r="C145" s="64">
        <f t="shared" ref="C145:I145" si="44">IF(C138&gt;200,C143,0)</f>
        <v>0</v>
      </c>
      <c r="D145" s="64">
        <f t="shared" si="44"/>
        <v>0</v>
      </c>
      <c r="E145" s="64">
        <f t="shared" si="44"/>
        <v>0</v>
      </c>
      <c r="F145" s="64">
        <f t="shared" si="44"/>
        <v>0</v>
      </c>
      <c r="G145" s="64">
        <f t="shared" si="44"/>
        <v>0</v>
      </c>
      <c r="H145" s="64">
        <f t="shared" si="44"/>
        <v>0</v>
      </c>
      <c r="I145" s="64">
        <f t="shared" si="44"/>
        <v>0</v>
      </c>
    </row>
    <row r="146" spans="1:12" s="2" customFormat="1" ht="20.100000000000001" hidden="1" customHeight="1">
      <c r="A146" s="111"/>
      <c r="B146" s="130"/>
      <c r="C146" s="64">
        <f t="shared" ref="C146:I146" si="45">IF(C136&gt;100,C143,0)</f>
        <v>0</v>
      </c>
      <c r="D146" s="64">
        <f t="shared" si="45"/>
        <v>0</v>
      </c>
      <c r="E146" s="64">
        <f t="shared" si="45"/>
        <v>0</v>
      </c>
      <c r="F146" s="64">
        <f t="shared" si="45"/>
        <v>0</v>
      </c>
      <c r="G146" s="64">
        <f t="shared" si="45"/>
        <v>0</v>
      </c>
      <c r="H146" s="64">
        <f t="shared" si="45"/>
        <v>0</v>
      </c>
      <c r="I146" s="64">
        <f t="shared" si="45"/>
        <v>0</v>
      </c>
    </row>
    <row r="147" spans="1:12" s="2" customFormat="1" ht="20.100000000000001" hidden="1" customHeight="1">
      <c r="A147" s="193"/>
      <c r="B147" s="130"/>
      <c r="C147" s="130">
        <f>IF(C144&gt;0,C144,IF(C145&gt;0,C145,IF(C146&gt;0,C146,0)))</f>
        <v>0</v>
      </c>
      <c r="D147" s="130">
        <f t="shared" ref="D147:I147" si="46">IF(D144&gt;0,D144,IF(D145&gt;0,D145,IF(D146&gt;0,D146,0)))</f>
        <v>0</v>
      </c>
      <c r="E147" s="130">
        <f t="shared" si="46"/>
        <v>0</v>
      </c>
      <c r="F147" s="130">
        <f t="shared" si="46"/>
        <v>0</v>
      </c>
      <c r="G147" s="130">
        <f t="shared" si="46"/>
        <v>0</v>
      </c>
      <c r="H147" s="130">
        <f t="shared" si="46"/>
        <v>0</v>
      </c>
      <c r="I147" s="130">
        <f t="shared" si="46"/>
        <v>0</v>
      </c>
    </row>
    <row r="148" spans="1:12" s="2" customFormat="1" ht="20.100000000000001" hidden="1" customHeight="1">
      <c r="A148" s="193"/>
      <c r="B148" s="130"/>
      <c r="C148" s="131">
        <f>IF(C160=0,0,C147)</f>
        <v>0</v>
      </c>
      <c r="D148" s="131">
        <f t="shared" ref="D148:I148" si="47">IF(D160=0,0,D147)</f>
        <v>0</v>
      </c>
      <c r="E148" s="131">
        <f t="shared" si="47"/>
        <v>0</v>
      </c>
      <c r="F148" s="131">
        <f t="shared" si="47"/>
        <v>0</v>
      </c>
      <c r="G148" s="131">
        <f t="shared" si="47"/>
        <v>0</v>
      </c>
      <c r="H148" s="131">
        <f t="shared" si="47"/>
        <v>0</v>
      </c>
      <c r="I148" s="131">
        <f t="shared" si="47"/>
        <v>0</v>
      </c>
    </row>
    <row r="149" spans="1:12" s="2" customFormat="1" ht="20.100000000000001" hidden="1" customHeight="1">
      <c r="A149" s="111"/>
      <c r="B149" s="130"/>
      <c r="C149" s="130"/>
      <c r="D149" s="130"/>
      <c r="E149" s="130"/>
      <c r="F149" s="130"/>
      <c r="G149" s="130"/>
      <c r="H149" s="130"/>
      <c r="I149" s="194"/>
    </row>
    <row r="150" spans="1:12" s="5" customFormat="1" ht="20.100000000000001" hidden="1" customHeight="1">
      <c r="A150" s="202" t="s">
        <v>98</v>
      </c>
      <c r="B150" s="130"/>
      <c r="C150" s="618">
        <f>IF(C195&gt;0,0,IF(C34="nein",0,IF(C131+C134+C139&gt;100,100,C131+C134+C139)))</f>
        <v>0</v>
      </c>
      <c r="D150" s="618">
        <f t="shared" ref="D150:I150" si="48">IF(D195&gt;0,0,IF(D34="nein",0,IF(D131+D134+D139&gt;100,100,D131+D134+D139)))</f>
        <v>0</v>
      </c>
      <c r="E150" s="618">
        <f t="shared" si="48"/>
        <v>0</v>
      </c>
      <c r="F150" s="618">
        <f t="shared" si="48"/>
        <v>0</v>
      </c>
      <c r="G150" s="618">
        <f t="shared" si="48"/>
        <v>0</v>
      </c>
      <c r="H150" s="618">
        <f t="shared" si="48"/>
        <v>0</v>
      </c>
      <c r="I150" s="618">
        <f t="shared" si="48"/>
        <v>0</v>
      </c>
    </row>
    <row r="151" spans="1:12" s="2" customFormat="1" ht="20.100000000000001" hidden="1" customHeight="1">
      <c r="A151" s="111"/>
      <c r="B151" s="130"/>
      <c r="C151" s="198">
        <f t="shared" ref="C151:I151" si="49">IF(AND(C131+C134+C139&gt;400,C150=100),C213,C150)</f>
        <v>0</v>
      </c>
      <c r="D151" s="198">
        <f t="shared" si="49"/>
        <v>0</v>
      </c>
      <c r="E151" s="198">
        <f t="shared" si="49"/>
        <v>0</v>
      </c>
      <c r="F151" s="198">
        <f t="shared" si="49"/>
        <v>0</v>
      </c>
      <c r="G151" s="198">
        <f t="shared" si="49"/>
        <v>0</v>
      </c>
      <c r="H151" s="198">
        <f t="shared" si="49"/>
        <v>0</v>
      </c>
      <c r="I151" s="198">
        <f t="shared" si="49"/>
        <v>0</v>
      </c>
    </row>
    <row r="152" spans="1:12" s="2" customFormat="1" ht="20.100000000000001" hidden="1" customHeight="1">
      <c r="A152" s="111"/>
      <c r="B152" s="130"/>
      <c r="C152" s="200">
        <f>IF(C151&gt;C131+C134+C139,C131+C134+C139,C151)</f>
        <v>0</v>
      </c>
      <c r="D152" s="200">
        <f t="shared" ref="D152:I152" si="50">IF(D151&gt;D131+D134+D139,D131+D134+D139,D151)</f>
        <v>0</v>
      </c>
      <c r="E152" s="200">
        <f t="shared" si="50"/>
        <v>0</v>
      </c>
      <c r="F152" s="200">
        <f t="shared" si="50"/>
        <v>0</v>
      </c>
      <c r="G152" s="200">
        <f t="shared" si="50"/>
        <v>0</v>
      </c>
      <c r="H152" s="200">
        <f t="shared" si="50"/>
        <v>0</v>
      </c>
      <c r="I152" s="200">
        <f t="shared" si="50"/>
        <v>0</v>
      </c>
    </row>
    <row r="153" spans="1:12" s="2" customFormat="1" ht="20.100000000000001" hidden="1" customHeight="1">
      <c r="A153" s="195" t="s">
        <v>94</v>
      </c>
      <c r="B153" s="130"/>
      <c r="C153" s="196">
        <f t="shared" ref="C153:I153" si="51">IF(C136&gt;100,100,C136)</f>
        <v>0</v>
      </c>
      <c r="D153" s="196">
        <f t="shared" si="51"/>
        <v>0</v>
      </c>
      <c r="E153" s="196">
        <f t="shared" si="51"/>
        <v>0</v>
      </c>
      <c r="F153" s="196">
        <f t="shared" si="51"/>
        <v>0</v>
      </c>
      <c r="G153" s="196">
        <f t="shared" si="51"/>
        <v>0</v>
      </c>
      <c r="H153" s="196">
        <f t="shared" si="51"/>
        <v>0</v>
      </c>
      <c r="I153" s="197">
        <f t="shared" si="51"/>
        <v>0</v>
      </c>
      <c r="L153" s="616"/>
    </row>
    <row r="154" spans="1:12" s="2" customFormat="1" ht="20.100000000000001" hidden="1" customHeight="1">
      <c r="A154" s="195"/>
      <c r="B154" s="130"/>
      <c r="C154" s="198">
        <f t="shared" ref="C154:I154" si="52">IF(C136&gt;100,C213,C153)</f>
        <v>0</v>
      </c>
      <c r="D154" s="198">
        <f t="shared" si="52"/>
        <v>0</v>
      </c>
      <c r="E154" s="198">
        <f t="shared" si="52"/>
        <v>0</v>
      </c>
      <c r="F154" s="198">
        <f t="shared" si="52"/>
        <v>0</v>
      </c>
      <c r="G154" s="198">
        <f t="shared" si="52"/>
        <v>0</v>
      </c>
      <c r="H154" s="198">
        <f t="shared" si="52"/>
        <v>0</v>
      </c>
      <c r="I154" s="199">
        <f t="shared" si="52"/>
        <v>0</v>
      </c>
      <c r="L154" s="616"/>
    </row>
    <row r="155" spans="1:12" s="2" customFormat="1" ht="20.100000000000001" hidden="1" customHeight="1">
      <c r="A155" s="195"/>
      <c r="B155" s="130"/>
      <c r="C155" s="200">
        <f t="shared" ref="C155:I155" si="53">IF(C154&gt;C136,C136,C154)</f>
        <v>0</v>
      </c>
      <c r="D155" s="200">
        <f t="shared" si="53"/>
        <v>0</v>
      </c>
      <c r="E155" s="200">
        <f t="shared" si="53"/>
        <v>0</v>
      </c>
      <c r="F155" s="200">
        <f t="shared" si="53"/>
        <v>0</v>
      </c>
      <c r="G155" s="200">
        <f t="shared" si="53"/>
        <v>0</v>
      </c>
      <c r="H155" s="200">
        <f t="shared" si="53"/>
        <v>0</v>
      </c>
      <c r="I155" s="201">
        <f t="shared" si="53"/>
        <v>0</v>
      </c>
      <c r="L155" s="616"/>
    </row>
    <row r="156" spans="1:12" s="2" customFormat="1" ht="20.100000000000001" hidden="1" customHeight="1">
      <c r="A156" s="195" t="s">
        <v>95</v>
      </c>
      <c r="B156" s="130"/>
      <c r="C156" s="196">
        <f t="shared" ref="C156:I156" si="54">IF(C138&gt;200,200,C138)</f>
        <v>0</v>
      </c>
      <c r="D156" s="196">
        <f t="shared" si="54"/>
        <v>0</v>
      </c>
      <c r="E156" s="196">
        <f t="shared" si="54"/>
        <v>0</v>
      </c>
      <c r="F156" s="196">
        <f t="shared" si="54"/>
        <v>0</v>
      </c>
      <c r="G156" s="196">
        <f t="shared" si="54"/>
        <v>0</v>
      </c>
      <c r="H156" s="196">
        <f t="shared" si="54"/>
        <v>0</v>
      </c>
      <c r="I156" s="197">
        <f t="shared" si="54"/>
        <v>0</v>
      </c>
    </row>
    <row r="157" spans="1:12" s="2" customFormat="1" ht="20.100000000000001" hidden="1" customHeight="1">
      <c r="A157" s="111"/>
      <c r="B157" s="130"/>
      <c r="C157" s="198">
        <f t="shared" ref="C157:I157" si="55">IF(AND(C138&gt;200,C156=200),C214,C156)</f>
        <v>0</v>
      </c>
      <c r="D157" s="198">
        <f t="shared" si="55"/>
        <v>0</v>
      </c>
      <c r="E157" s="198">
        <f t="shared" si="55"/>
        <v>0</v>
      </c>
      <c r="F157" s="198">
        <f t="shared" si="55"/>
        <v>0</v>
      </c>
      <c r="G157" s="198">
        <f t="shared" si="55"/>
        <v>0</v>
      </c>
      <c r="H157" s="198">
        <f t="shared" si="55"/>
        <v>0</v>
      </c>
      <c r="I157" s="199">
        <f t="shared" si="55"/>
        <v>0</v>
      </c>
    </row>
    <row r="158" spans="1:12" s="2" customFormat="1" ht="20.100000000000001" hidden="1" customHeight="1">
      <c r="A158" s="193"/>
      <c r="B158" s="130"/>
      <c r="C158" s="142">
        <f>C157</f>
        <v>0</v>
      </c>
      <c r="D158" s="142">
        <f t="shared" ref="D158:I158" si="56">D157</f>
        <v>0</v>
      </c>
      <c r="E158" s="142">
        <f t="shared" si="56"/>
        <v>0</v>
      </c>
      <c r="F158" s="142">
        <f t="shared" si="56"/>
        <v>0</v>
      </c>
      <c r="G158" s="142">
        <f t="shared" si="56"/>
        <v>0</v>
      </c>
      <c r="H158" s="142">
        <f t="shared" si="56"/>
        <v>0</v>
      </c>
      <c r="I158" s="623">
        <f t="shared" si="56"/>
        <v>0</v>
      </c>
    </row>
    <row r="159" spans="1:12" s="2" customFormat="1" ht="20.100000000000001" hidden="1" customHeight="1">
      <c r="A159" s="193"/>
      <c r="B159" s="130"/>
      <c r="C159" s="130">
        <f t="shared" ref="C159:I159" si="57">IF(C155&gt;C152,C155,C152)</f>
        <v>0</v>
      </c>
      <c r="D159" s="130">
        <f t="shared" si="57"/>
        <v>0</v>
      </c>
      <c r="E159" s="130">
        <f t="shared" si="57"/>
        <v>0</v>
      </c>
      <c r="F159" s="130">
        <f t="shared" si="57"/>
        <v>0</v>
      </c>
      <c r="G159" s="130">
        <f t="shared" si="57"/>
        <v>0</v>
      </c>
      <c r="H159" s="130">
        <f t="shared" si="57"/>
        <v>0</v>
      </c>
      <c r="I159" s="194">
        <f t="shared" si="57"/>
        <v>0</v>
      </c>
    </row>
    <row r="160" spans="1:12" s="2" customFormat="1" ht="20.100000000000001" hidden="1" customHeight="1">
      <c r="A160" s="202" t="s">
        <v>96</v>
      </c>
      <c r="B160" s="130"/>
      <c r="C160" s="634">
        <f t="shared" ref="C160:I160" si="58">IF(AND(C132+C139&gt;0,C132+C139&lt;100,C136=0,C138=0),C132+C139,IF(AND(C131+C139&gt;400,C159&gt;100,C138&gt;0,C159&gt;200),C159,IF(AND(C131+C139&gt;400,C159&gt;100,C138&gt;0,C158+100&gt;C159),MIN(200,C158+100),IF(AND(C131+C139&gt;400,C159&gt;100,C138&gt;0,C158+100&lt;C159),C159,IF(AND(C138&gt;0,C158&lt;=200,C159&lt;=200),MIN(200,C158+C159),C159)))))</f>
        <v>0</v>
      </c>
      <c r="D160" s="634">
        <f t="shared" si="58"/>
        <v>0</v>
      </c>
      <c r="E160" s="634">
        <f t="shared" si="58"/>
        <v>0</v>
      </c>
      <c r="F160" s="634">
        <f t="shared" si="58"/>
        <v>0</v>
      </c>
      <c r="G160" s="634">
        <f t="shared" si="58"/>
        <v>0</v>
      </c>
      <c r="H160" s="634">
        <f t="shared" si="58"/>
        <v>0</v>
      </c>
      <c r="I160" s="634">
        <f t="shared" si="58"/>
        <v>0</v>
      </c>
    </row>
    <row r="161" spans="1:9" s="5" customFormat="1" ht="20.100000000000001" hidden="1" customHeight="1">
      <c r="A161" s="193"/>
      <c r="B161" s="130"/>
      <c r="C161" s="130">
        <f t="shared" ref="C161:I161" si="59">IF(C195&gt;0,C160,IF(C34="nein",C160,IF(AND(C160&lt;100,C198&gt;0),C212,C160)))</f>
        <v>0</v>
      </c>
      <c r="D161" s="130">
        <f t="shared" si="59"/>
        <v>0</v>
      </c>
      <c r="E161" s="130">
        <f t="shared" si="59"/>
        <v>0</v>
      </c>
      <c r="F161" s="130">
        <f t="shared" si="59"/>
        <v>0</v>
      </c>
      <c r="G161" s="130">
        <f t="shared" si="59"/>
        <v>0</v>
      </c>
      <c r="H161" s="130">
        <f t="shared" si="59"/>
        <v>0</v>
      </c>
      <c r="I161" s="130">
        <f t="shared" si="59"/>
        <v>0</v>
      </c>
    </row>
    <row r="162" spans="1:9" s="2" customFormat="1" ht="20.100000000000001" hidden="1" customHeight="1">
      <c r="A162" s="193"/>
      <c r="B162" s="130"/>
      <c r="C162" s="130">
        <f t="shared" ref="C162:I162" si="60">IF(C161&gt;C160,C160-C212,C160)</f>
        <v>0</v>
      </c>
      <c r="D162" s="130">
        <f t="shared" si="60"/>
        <v>0</v>
      </c>
      <c r="E162" s="130">
        <f t="shared" si="60"/>
        <v>0</v>
      </c>
      <c r="F162" s="130">
        <f t="shared" si="60"/>
        <v>0</v>
      </c>
      <c r="G162" s="130">
        <f t="shared" si="60"/>
        <v>0</v>
      </c>
      <c r="H162" s="130">
        <f t="shared" si="60"/>
        <v>0</v>
      </c>
      <c r="I162" s="130">
        <f t="shared" si="60"/>
        <v>0</v>
      </c>
    </row>
    <row r="163" spans="1:9" s="2" customFormat="1" ht="20.100000000000001" hidden="1" customHeight="1" thickBot="1">
      <c r="A163" s="624"/>
      <c r="B163" s="625"/>
      <c r="C163" s="626">
        <f>IF(C162&lt;0,C162*-1,C162)</f>
        <v>0</v>
      </c>
      <c r="D163" s="626">
        <f t="shared" ref="D163:I163" si="61">IF(D162&lt;0,D162*-1,D162)</f>
        <v>0</v>
      </c>
      <c r="E163" s="626">
        <f t="shared" si="61"/>
        <v>0</v>
      </c>
      <c r="F163" s="626">
        <f t="shared" si="61"/>
        <v>0</v>
      </c>
      <c r="G163" s="626">
        <f t="shared" si="61"/>
        <v>0</v>
      </c>
      <c r="H163" s="626">
        <f t="shared" si="61"/>
        <v>0</v>
      </c>
      <c r="I163" s="627">
        <f t="shared" si="61"/>
        <v>0</v>
      </c>
    </row>
    <row r="164" spans="1:9" s="2" customFormat="1" ht="20.100000000000001" customHeight="1" thickBot="1">
      <c r="A164" s="407" t="s">
        <v>86</v>
      </c>
      <c r="B164" s="49"/>
      <c r="C164" s="50">
        <f>Zusatzeingaben!C165</f>
        <v>0</v>
      </c>
      <c r="D164" s="50">
        <f>Zusatzeingaben!D165</f>
        <v>0</v>
      </c>
      <c r="E164" s="50">
        <f>Zusatzeingaben!E165</f>
        <v>0</v>
      </c>
      <c r="F164" s="50">
        <f>Zusatzeingaben!F165</f>
        <v>0</v>
      </c>
      <c r="G164" s="50">
        <f>Zusatzeingaben!G165</f>
        <v>0</v>
      </c>
      <c r="H164" s="50">
        <f>Zusatzeingaben!H165</f>
        <v>0</v>
      </c>
      <c r="I164" s="50">
        <f>Zusatzeingaben!I165</f>
        <v>0</v>
      </c>
    </row>
    <row r="165" spans="1:9" s="2" customFormat="1" ht="20.100000000000001" customHeight="1" thickBot="1">
      <c r="A165" s="667" t="s">
        <v>84</v>
      </c>
      <c r="B165" s="22"/>
      <c r="C165" s="50">
        <f>Zusatzeingaben!C166</f>
        <v>0</v>
      </c>
      <c r="D165" s="50">
        <f>Zusatzeingaben!D166</f>
        <v>0</v>
      </c>
      <c r="E165" s="50">
        <f>Zusatzeingaben!E166</f>
        <v>0</v>
      </c>
      <c r="F165" s="50">
        <f>Zusatzeingaben!F166</f>
        <v>0</v>
      </c>
      <c r="G165" s="50">
        <f>Zusatzeingaben!G166</f>
        <v>0</v>
      </c>
      <c r="H165" s="50">
        <f>Zusatzeingaben!H166</f>
        <v>0</v>
      </c>
      <c r="I165" s="50">
        <f>Zusatzeingaben!I166</f>
        <v>0</v>
      </c>
    </row>
    <row r="166" spans="1:9" s="2" customFormat="1" ht="20.100000000000001" customHeight="1">
      <c r="A166" s="667" t="s">
        <v>85</v>
      </c>
      <c r="B166" s="22"/>
      <c r="C166" s="50">
        <f>Zusatzeingaben!C167</f>
        <v>0</v>
      </c>
      <c r="D166" s="50">
        <f>Zusatzeingaben!D167</f>
        <v>0</v>
      </c>
      <c r="E166" s="50">
        <f>Zusatzeingaben!E167</f>
        <v>0</v>
      </c>
      <c r="F166" s="50">
        <f>Zusatzeingaben!F167</f>
        <v>0</v>
      </c>
      <c r="G166" s="50">
        <f>Zusatzeingaben!G167</f>
        <v>0</v>
      </c>
      <c r="H166" s="50">
        <f>Zusatzeingaben!H167</f>
        <v>0</v>
      </c>
      <c r="I166" s="50">
        <f>Zusatzeingaben!I167</f>
        <v>0</v>
      </c>
    </row>
    <row r="167" spans="1:9" s="2" customFormat="1" ht="20.100000000000001" customHeight="1" thickBot="1">
      <c r="A167" s="665" t="s">
        <v>88</v>
      </c>
      <c r="B167" s="22"/>
      <c r="C167" s="62">
        <f>IF(C165="vollverpflegung",C23*C166*1%,IF(C165="frühstück",C23*C166*0.2%,IF(C165="mittagessen",C23*C166*0.4%,IF(C165="abendessen",C23*C166*0.4%,0))))</f>
        <v>0</v>
      </c>
      <c r="D167" s="24">
        <f>IF(D165="vollverpflegung",D23*D166*1%,IF(D165="frühstück",D23*D166*0.2%,IF(D165="mittagessen",D23*D166*0.4%,IF(D165="abendessen",D23*D166*0.4%,0))))</f>
        <v>0</v>
      </c>
      <c r="E167" s="24">
        <f>IF(E165="vollverpflegung",E31*E166*1%,IF(E165="frühstück",E31*E166*0.2%,IF(E165="mittagessen",E31*E166*0.4%,IF(E165="abendessen",E31*E166*0.4%,0))))</f>
        <v>0</v>
      </c>
      <c r="F167" s="24">
        <f>IF(F165="vollverpflegung",F31*F166*1%,IF(F165="frühstück",F31*F166*0.2%,IF(F165="mittagessen",F31*F166*0.4%,IF(F165="abendessen",F31*F166*0.4%,0))))</f>
        <v>0</v>
      </c>
      <c r="G167" s="24">
        <f>IF(G165="vollverpflegung",G31*G166*1%,IF(G165="frühstück",G31*G166*0.2%,IF(G165="mittagessen",G31*G166*0.4%,IF(G165="abendessen",G31*G166*0.4%,0))))</f>
        <v>0</v>
      </c>
      <c r="H167" s="24">
        <f>IF(H165="vollverpflegung",H31*H166*1%,IF(H165="frühstück",H31*H166*0.2%,IF(H165="mittagessen",H31*H166*0.4%,IF(H165="abendessen",H31*H166*0.4%,0))))</f>
        <v>0</v>
      </c>
      <c r="I167" s="53">
        <f>IF(I165="vollverpflegung",I31*I166*1%,IF(I165="frühstück",I31*I166*0.2%,IF(I165="mittagessen",I31*I166*0.4%,IF(I165="abendessen",I31*I166*0.4%,0))))</f>
        <v>0</v>
      </c>
    </row>
    <row r="168" spans="1:9" s="2" customFormat="1" ht="20.100000000000001" hidden="1" customHeight="1">
      <c r="A168" s="418" t="s">
        <v>105</v>
      </c>
      <c r="B168" s="22"/>
      <c r="C168" s="24">
        <f>C164+C167</f>
        <v>0</v>
      </c>
      <c r="D168" s="24">
        <f t="shared" ref="D168:I168" si="62">D164+D167</f>
        <v>0</v>
      </c>
      <c r="E168" s="24">
        <f t="shared" si="62"/>
        <v>0</v>
      </c>
      <c r="F168" s="24">
        <f t="shared" si="62"/>
        <v>0</v>
      </c>
      <c r="G168" s="24">
        <f t="shared" si="62"/>
        <v>0</v>
      </c>
      <c r="H168" s="24">
        <f t="shared" si="62"/>
        <v>0</v>
      </c>
      <c r="I168" s="24">
        <f t="shared" si="62"/>
        <v>0</v>
      </c>
    </row>
    <row r="169" spans="1:9" s="2" customFormat="1" ht="20.100000000000001" hidden="1" customHeight="1">
      <c r="A169" s="193"/>
      <c r="B169" s="130"/>
      <c r="C169" s="130">
        <f>IF(C164&gt;200,200,C164)</f>
        <v>0</v>
      </c>
      <c r="D169" s="130">
        <f t="shared" ref="D169:I169" si="63">IF(D164&gt;200,200,D164)</f>
        <v>0</v>
      </c>
      <c r="E169" s="130">
        <f t="shared" si="63"/>
        <v>0</v>
      </c>
      <c r="F169" s="130">
        <f t="shared" si="63"/>
        <v>0</v>
      </c>
      <c r="G169" s="130">
        <f t="shared" si="63"/>
        <v>0</v>
      </c>
      <c r="H169" s="130">
        <f t="shared" si="63"/>
        <v>0</v>
      </c>
      <c r="I169" s="130">
        <f t="shared" si="63"/>
        <v>0</v>
      </c>
    </row>
    <row r="170" spans="1:9" s="2" customFormat="1" ht="20.100000000000001" hidden="1" customHeight="1">
      <c r="A170" s="193"/>
      <c r="B170" s="130"/>
      <c r="C170" s="130">
        <f>IF(C160=200,0,IF(AND(C160&gt;1,C160&lt;200),C169-C160,C169))</f>
        <v>0</v>
      </c>
      <c r="D170" s="130">
        <f t="shared" ref="D170:I170" si="64">IF(D160=200,0,IF(AND(D160&gt;1,D160&lt;200),D169-D160,D169))</f>
        <v>0</v>
      </c>
      <c r="E170" s="130">
        <f t="shared" si="64"/>
        <v>0</v>
      </c>
      <c r="F170" s="130">
        <f t="shared" si="64"/>
        <v>0</v>
      </c>
      <c r="G170" s="130">
        <f t="shared" si="64"/>
        <v>0</v>
      </c>
      <c r="H170" s="130">
        <f t="shared" si="64"/>
        <v>0</v>
      </c>
      <c r="I170" s="130">
        <f t="shared" si="64"/>
        <v>0</v>
      </c>
    </row>
    <row r="171" spans="1:9" s="2" customFormat="1" ht="20.100000000000001" hidden="1" customHeight="1">
      <c r="A171" s="652" t="s">
        <v>91</v>
      </c>
      <c r="B171" s="653"/>
      <c r="C171" s="655">
        <f>IF(C170&lt;0,0,C170)</f>
        <v>0</v>
      </c>
      <c r="D171" s="655">
        <f t="shared" ref="D171:I171" si="65">IF(D170&lt;0,0,D170)</f>
        <v>0</v>
      </c>
      <c r="E171" s="655">
        <f t="shared" si="65"/>
        <v>0</v>
      </c>
      <c r="F171" s="655">
        <f t="shared" si="65"/>
        <v>0</v>
      </c>
      <c r="G171" s="655">
        <f t="shared" si="65"/>
        <v>0</v>
      </c>
      <c r="H171" s="655">
        <f t="shared" si="65"/>
        <v>0</v>
      </c>
      <c r="I171" s="655">
        <f t="shared" si="65"/>
        <v>0</v>
      </c>
    </row>
    <row r="172" spans="1:9" ht="20.100000000000001" customHeight="1" thickBot="1">
      <c r="A172" s="16" t="s">
        <v>61</v>
      </c>
      <c r="B172" s="49"/>
      <c r="C172" s="50">
        <f>Zusatzeingaben!C174</f>
        <v>0</v>
      </c>
      <c r="D172" s="50">
        <f>Zusatzeingaben!D174</f>
        <v>0</v>
      </c>
      <c r="E172" s="51"/>
      <c r="F172" s="51"/>
      <c r="G172" s="51"/>
      <c r="H172" s="51"/>
      <c r="I172" s="52"/>
    </row>
    <row r="173" spans="1:9" ht="20.100000000000001" customHeight="1" thickBot="1">
      <c r="A173" s="17" t="s">
        <v>72</v>
      </c>
      <c r="B173" s="22"/>
      <c r="C173" s="50">
        <f>Zusatzeingaben!C175</f>
        <v>0</v>
      </c>
      <c r="D173" s="50">
        <f>Zusatzeingaben!D175</f>
        <v>0</v>
      </c>
      <c r="E173" s="24"/>
      <c r="F173" s="24"/>
      <c r="G173" s="24"/>
      <c r="H173" s="24"/>
      <c r="I173" s="53"/>
    </row>
    <row r="174" spans="1:9" ht="20.100000000000001" customHeight="1" thickBot="1">
      <c r="A174" s="18" t="s">
        <v>71</v>
      </c>
      <c r="B174" s="12"/>
      <c r="C174" s="50" t="str">
        <f>Zusatzeingaben!C176</f>
        <v>Nein</v>
      </c>
      <c r="D174" s="50" t="str">
        <f>Zusatzeingaben!D176</f>
        <v>Nein</v>
      </c>
      <c r="E174" s="28"/>
      <c r="F174" s="28"/>
      <c r="G174" s="28"/>
      <c r="H174" s="28"/>
      <c r="I174" s="54"/>
    </row>
    <row r="175" spans="1:9" ht="20.100000000000001" hidden="1" customHeight="1">
      <c r="A175" s="113"/>
      <c r="B175" s="55"/>
      <c r="C175" s="56">
        <f>IF(C173&gt;300,300,C173)</f>
        <v>0</v>
      </c>
      <c r="D175" s="56">
        <f>IF(D173&gt;300,300,D173)</f>
        <v>0</v>
      </c>
      <c r="E175" s="57"/>
      <c r="F175" s="57"/>
      <c r="G175" s="57"/>
      <c r="H175" s="57"/>
      <c r="I175" s="114"/>
    </row>
    <row r="176" spans="1:9" ht="20.100000000000001" hidden="1" customHeight="1">
      <c r="A176" s="113"/>
      <c r="B176" s="55"/>
      <c r="C176" s="56">
        <f>IF(C174="ja",MIN(150,C173/2),C175)</f>
        <v>0</v>
      </c>
      <c r="D176" s="56">
        <f t="shared" ref="D176:I176" si="66">IF(D174="ja",MIN(150,D173/2),D175)</f>
        <v>0</v>
      </c>
      <c r="E176" s="56">
        <f t="shared" si="66"/>
        <v>0</v>
      </c>
      <c r="F176" s="56">
        <f t="shared" si="66"/>
        <v>0</v>
      </c>
      <c r="G176" s="56">
        <f t="shared" si="66"/>
        <v>0</v>
      </c>
      <c r="H176" s="56">
        <f t="shared" si="66"/>
        <v>0</v>
      </c>
      <c r="I176" s="56">
        <f t="shared" si="66"/>
        <v>0</v>
      </c>
    </row>
    <row r="177" spans="1:9" ht="20.100000000000001" hidden="1" customHeight="1">
      <c r="A177" s="126" t="s">
        <v>78</v>
      </c>
      <c r="B177" s="55"/>
      <c r="C177" s="56">
        <f>IF(C176&lt;C175,C176,C175)</f>
        <v>0</v>
      </c>
      <c r="D177" s="56">
        <f>IF(D176&lt;D175,D176,D175)</f>
        <v>0</v>
      </c>
      <c r="E177" s="57"/>
      <c r="F177" s="57"/>
      <c r="G177" s="57"/>
      <c r="H177" s="57"/>
      <c r="I177" s="114"/>
    </row>
    <row r="178" spans="1:9" ht="20.100000000000001" customHeight="1" thickBot="1">
      <c r="A178" s="656" t="s">
        <v>211</v>
      </c>
      <c r="B178" s="49"/>
      <c r="C178" s="50">
        <f>Zusatzeingaben!C180</f>
        <v>0</v>
      </c>
      <c r="D178" s="50">
        <f>Zusatzeingaben!D180</f>
        <v>0</v>
      </c>
      <c r="E178" s="50">
        <f>Zusatzeingaben!E180</f>
        <v>0</v>
      </c>
      <c r="F178" s="50">
        <f>Zusatzeingaben!F180</f>
        <v>0</v>
      </c>
      <c r="G178" s="51"/>
      <c r="H178" s="51"/>
      <c r="I178" s="52"/>
    </row>
    <row r="179" spans="1:9" ht="20.100000000000001" customHeight="1" thickBot="1">
      <c r="A179" s="19" t="s">
        <v>207</v>
      </c>
      <c r="B179" s="22"/>
      <c r="C179" s="50">
        <f>Zusatzeingaben!C181</f>
        <v>0</v>
      </c>
      <c r="D179" s="50">
        <f>Zusatzeingaben!D181</f>
        <v>0</v>
      </c>
      <c r="E179" s="50">
        <f>Zusatzeingaben!E181</f>
        <v>0</v>
      </c>
      <c r="F179" s="50">
        <f>Zusatzeingaben!F181</f>
        <v>0</v>
      </c>
      <c r="G179" s="24"/>
      <c r="H179" s="24"/>
      <c r="I179" s="53"/>
    </row>
    <row r="180" spans="1:9" ht="20.100000000000001" customHeight="1">
      <c r="A180" s="19" t="s">
        <v>205</v>
      </c>
      <c r="B180" s="22"/>
      <c r="C180" s="50">
        <f>Zusatzeingaben!C182</f>
        <v>0</v>
      </c>
      <c r="D180" s="50">
        <f>Zusatzeingaben!D182</f>
        <v>0</v>
      </c>
      <c r="E180" s="50">
        <f>Zusatzeingaben!E182</f>
        <v>0</v>
      </c>
      <c r="F180" s="50">
        <f>Zusatzeingaben!F182</f>
        <v>0</v>
      </c>
      <c r="G180" s="24"/>
      <c r="H180" s="24"/>
      <c r="I180" s="53"/>
    </row>
    <row r="181" spans="1:9" ht="20.100000000000001" hidden="1" customHeight="1">
      <c r="A181" s="97"/>
      <c r="B181" s="22"/>
      <c r="C181" s="36">
        <f>C179*C180*0.2</f>
        <v>0</v>
      </c>
      <c r="D181" s="36">
        <f t="shared" ref="D181:F181" si="67">D179*D180*0.2</f>
        <v>0</v>
      </c>
      <c r="E181" s="36">
        <f t="shared" si="67"/>
        <v>0</v>
      </c>
      <c r="F181" s="36">
        <f t="shared" si="67"/>
        <v>0</v>
      </c>
      <c r="G181" s="24"/>
      <c r="H181" s="24"/>
      <c r="I181" s="53"/>
    </row>
    <row r="182" spans="1:9" ht="20.100000000000001" customHeight="1">
      <c r="A182" s="19" t="s">
        <v>212</v>
      </c>
      <c r="B182" s="22"/>
      <c r="C182" s="26">
        <f>Zusatzeingaben!C184</f>
        <v>0</v>
      </c>
      <c r="D182" s="26">
        <f>Zusatzeingaben!D184</f>
        <v>0</v>
      </c>
      <c r="E182" s="26">
        <f>Zusatzeingaben!E184</f>
        <v>0</v>
      </c>
      <c r="F182" s="26">
        <f>Zusatzeingaben!F184</f>
        <v>0</v>
      </c>
      <c r="G182" s="24"/>
      <c r="H182" s="24"/>
      <c r="I182" s="53"/>
    </row>
    <row r="183" spans="1:9" ht="20.100000000000001" hidden="1" customHeight="1">
      <c r="A183" s="113"/>
      <c r="B183" s="55"/>
      <c r="C183" s="57">
        <f>MAX(C181,C182)</f>
        <v>0</v>
      </c>
      <c r="D183" s="57">
        <f t="shared" ref="D183:F183" si="68">MAX(D181,D182)</f>
        <v>0</v>
      </c>
      <c r="E183" s="57">
        <f t="shared" si="68"/>
        <v>0</v>
      </c>
      <c r="F183" s="57">
        <f t="shared" si="68"/>
        <v>0</v>
      </c>
      <c r="G183" s="419"/>
      <c r="H183" s="419"/>
      <c r="I183" s="420"/>
    </row>
    <row r="184" spans="1:9" ht="20.100000000000001" customHeight="1" thickBot="1">
      <c r="A184" s="19" t="s">
        <v>206</v>
      </c>
      <c r="B184" s="55"/>
      <c r="C184" s="26">
        <f>Zusatzeingaben!C186</f>
        <v>0</v>
      </c>
      <c r="D184" s="26">
        <f>Zusatzeingaben!D186</f>
        <v>0</v>
      </c>
      <c r="E184" s="26">
        <f>Zusatzeingaben!E186</f>
        <v>0</v>
      </c>
      <c r="F184" s="26">
        <f>Zusatzeingaben!F186</f>
        <v>0</v>
      </c>
      <c r="G184" s="419"/>
      <c r="H184" s="419"/>
      <c r="I184" s="420"/>
    </row>
    <row r="185" spans="1:9" ht="20.100000000000001" hidden="1" customHeight="1">
      <c r="A185" s="99"/>
      <c r="B185" s="55"/>
      <c r="C185" s="58">
        <f>MIN(C178,100)</f>
        <v>0</v>
      </c>
      <c r="D185" s="58">
        <f t="shared" ref="D185:F185" si="69">MIN(D178,100)</f>
        <v>0</v>
      </c>
      <c r="E185" s="58">
        <f t="shared" si="69"/>
        <v>0</v>
      </c>
      <c r="F185" s="58">
        <f t="shared" si="69"/>
        <v>0</v>
      </c>
      <c r="G185" s="419"/>
      <c r="H185" s="419"/>
      <c r="I185" s="420"/>
    </row>
    <row r="186" spans="1:9" ht="20.100000000000001" hidden="1" customHeight="1">
      <c r="A186" s="99"/>
      <c r="B186" s="55"/>
      <c r="C186" s="58">
        <f>IF(AND(C160&gt;0,C160&lt;=100),MIN(100-C160,C185),IF(C158&gt;100,0,C185))</f>
        <v>0</v>
      </c>
      <c r="D186" s="58">
        <f t="shared" ref="D186:F186" si="70">IF(AND(D160&gt;0,D160&lt;=100),MIN(100-D160,D185),IF(D158&gt;100,0,D185))</f>
        <v>0</v>
      </c>
      <c r="E186" s="58">
        <f t="shared" si="70"/>
        <v>0</v>
      </c>
      <c r="F186" s="58">
        <f t="shared" si="70"/>
        <v>0</v>
      </c>
      <c r="G186" s="419"/>
      <c r="H186" s="419"/>
      <c r="I186" s="420"/>
    </row>
    <row r="187" spans="1:9" ht="20.100000000000001" hidden="1" customHeight="1">
      <c r="A187" s="636" t="s">
        <v>209</v>
      </c>
      <c r="B187" s="55"/>
      <c r="C187" s="58">
        <f>IF(OR(C160&gt;100,C178=0),0,C186)</f>
        <v>0</v>
      </c>
      <c r="D187" s="58">
        <f t="shared" ref="D187:F187" si="71">IF(OR(D160&gt;100,D178=0),0,D186)</f>
        <v>0</v>
      </c>
      <c r="E187" s="58">
        <f t="shared" si="71"/>
        <v>0</v>
      </c>
      <c r="F187" s="58">
        <f t="shared" si="71"/>
        <v>0</v>
      </c>
      <c r="G187" s="419"/>
      <c r="H187" s="419"/>
      <c r="I187" s="420"/>
    </row>
    <row r="188" spans="1:9" ht="20.100000000000001" hidden="1" customHeight="1">
      <c r="A188" s="636" t="s">
        <v>210</v>
      </c>
      <c r="B188" s="55"/>
      <c r="C188" s="58">
        <f>IF(C183+C184&gt;C187,MIN(C178,C183+C184),IF(AND(C172+C178+C190+C193+C194+C195+C196+C197&gt;0,C189&gt;C187),C183+C184,0))</f>
        <v>0</v>
      </c>
      <c r="D188" s="58">
        <f t="shared" ref="D188:F188" si="72">IF(D183+D184&gt;D187,MIN(D178,D183+D184),IF(AND(D172+D178+D190+D193+D194+D195+D196+D197&gt;0,D189&gt;D187),D183+D184,0))</f>
        <v>0</v>
      </c>
      <c r="E188" s="58">
        <f t="shared" si="72"/>
        <v>0</v>
      </c>
      <c r="F188" s="58">
        <f t="shared" si="72"/>
        <v>0</v>
      </c>
      <c r="G188" s="419"/>
      <c r="H188" s="419"/>
      <c r="I188" s="420"/>
    </row>
    <row r="189" spans="1:9" ht="20.100000000000001" hidden="1" customHeight="1">
      <c r="A189" s="99"/>
      <c r="B189" s="55"/>
      <c r="C189" s="58">
        <f>IF(AND(C178&gt;0,C183+C184+C211&gt;100),C183+C184+C211,0)</f>
        <v>0</v>
      </c>
      <c r="D189" s="58">
        <f>IF(AND(D178&gt;0,D183+D184+D211&gt;100),D183+D184+D211,0)</f>
        <v>0</v>
      </c>
      <c r="E189" s="58">
        <f>IF(AND(E178&gt;0,E183+E184+E211&gt;100),E183+E184+E211,0)</f>
        <v>0</v>
      </c>
      <c r="F189" s="58">
        <f>IF(AND(F178&gt;0,F183+F184+F211&gt;100),F183+F184+F211,0)</f>
        <v>0</v>
      </c>
      <c r="G189" s="419"/>
      <c r="H189" s="419"/>
      <c r="I189" s="420"/>
    </row>
    <row r="190" spans="1:9" s="2" customFormat="1" ht="20.100000000000001" customHeight="1" thickBot="1">
      <c r="A190" s="422" t="s">
        <v>23</v>
      </c>
      <c r="B190" s="49"/>
      <c r="C190" s="50">
        <f>Zusatzeingaben!C192</f>
        <v>0</v>
      </c>
      <c r="D190" s="50">
        <f>Zusatzeingaben!D192</f>
        <v>0</v>
      </c>
      <c r="E190" s="50">
        <f>Zusatzeingaben!E192</f>
        <v>0</v>
      </c>
      <c r="F190" s="50">
        <f>Zusatzeingaben!F192</f>
        <v>0</v>
      </c>
      <c r="G190" s="50">
        <f>Zusatzeingaben!G192</f>
        <v>0</v>
      </c>
      <c r="H190" s="50">
        <f>Zusatzeingaben!H192</f>
        <v>0</v>
      </c>
      <c r="I190" s="50">
        <f>Zusatzeingaben!I192</f>
        <v>0</v>
      </c>
    </row>
    <row r="191" spans="1:9" s="2" customFormat="1" ht="20.100000000000001" customHeight="1" thickBot="1">
      <c r="A191" s="631" t="s">
        <v>80</v>
      </c>
      <c r="B191" s="44"/>
      <c r="C191" s="50">
        <f>Zusatzeingaben!C193</f>
        <v>0</v>
      </c>
      <c r="D191" s="50">
        <f>Zusatzeingaben!D193</f>
        <v>0</v>
      </c>
      <c r="E191" s="50">
        <f>Zusatzeingaben!E193</f>
        <v>0</v>
      </c>
      <c r="F191" s="50">
        <f>Zusatzeingaben!F193</f>
        <v>0</v>
      </c>
      <c r="G191" s="50">
        <f>Zusatzeingaben!G193</f>
        <v>0</v>
      </c>
      <c r="H191" s="50">
        <f>Zusatzeingaben!H193</f>
        <v>0</v>
      </c>
      <c r="I191" s="50">
        <f>Zusatzeingaben!I193</f>
        <v>0</v>
      </c>
    </row>
    <row r="192" spans="1:9" s="2" customFormat="1" ht="20.100000000000001" customHeight="1">
      <c r="A192" s="79" t="s">
        <v>81</v>
      </c>
      <c r="B192" s="22"/>
      <c r="C192" s="50"/>
      <c r="D192" s="50"/>
      <c r="E192" s="50">
        <f>Zusatzeingaben!E194</f>
        <v>0</v>
      </c>
      <c r="F192" s="50">
        <f>Zusatzeingaben!F194</f>
        <v>0</v>
      </c>
      <c r="G192" s="50">
        <f>Zusatzeingaben!G194</f>
        <v>0</v>
      </c>
      <c r="H192" s="50">
        <f>Zusatzeingaben!H194</f>
        <v>0</v>
      </c>
      <c r="I192" s="50">
        <f>Zusatzeingaben!I194</f>
        <v>0</v>
      </c>
    </row>
    <row r="193" spans="1:9" s="2" customFormat="1" ht="20.100000000000001" hidden="1" customHeight="1">
      <c r="A193" s="112"/>
      <c r="B193" s="40"/>
      <c r="C193" s="47">
        <f>C191</f>
        <v>0</v>
      </c>
      <c r="D193" s="47">
        <f>D191</f>
        <v>0</v>
      </c>
      <c r="E193" s="47">
        <f>E191+E192</f>
        <v>0</v>
      </c>
      <c r="F193" s="47">
        <f>F191+F192</f>
        <v>0</v>
      </c>
      <c r="G193" s="47">
        <f>G191+G192</f>
        <v>0</v>
      </c>
      <c r="H193" s="47">
        <f>H191+H192</f>
        <v>0</v>
      </c>
      <c r="I193" s="116">
        <f>I191+I192</f>
        <v>0</v>
      </c>
    </row>
    <row r="194" spans="1:9" s="2" customFormat="1" ht="20.100000000000001" customHeight="1">
      <c r="A194" s="584" t="s">
        <v>25</v>
      </c>
      <c r="B194" s="40"/>
      <c r="C194" s="43">
        <f>Zusatzeingaben!C196</f>
        <v>0</v>
      </c>
      <c r="D194" s="43">
        <f>Zusatzeingaben!D196</f>
        <v>0</v>
      </c>
      <c r="E194" s="43">
        <f>Zusatzeingaben!E196</f>
        <v>0</v>
      </c>
      <c r="F194" s="43">
        <f>Zusatzeingaben!F196</f>
        <v>0</v>
      </c>
      <c r="G194" s="43">
        <f>Zusatzeingaben!G196</f>
        <v>0</v>
      </c>
      <c r="H194" s="43">
        <f>Zusatzeingaben!H196</f>
        <v>0</v>
      </c>
      <c r="I194" s="43">
        <f>Zusatzeingaben!I196</f>
        <v>0</v>
      </c>
    </row>
    <row r="195" spans="1:9" s="2" customFormat="1" ht="20.100000000000001" customHeight="1">
      <c r="A195" s="99" t="s">
        <v>79</v>
      </c>
      <c r="B195" s="40"/>
      <c r="C195" s="43">
        <f>Zusatzeingaben!C197</f>
        <v>0</v>
      </c>
      <c r="D195" s="43">
        <f>Zusatzeingaben!D197</f>
        <v>0</v>
      </c>
      <c r="E195" s="47"/>
      <c r="F195" s="47"/>
      <c r="G195" s="47"/>
      <c r="H195" s="47"/>
      <c r="I195" s="116"/>
    </row>
    <row r="196" spans="1:9" s="2" customFormat="1" ht="20.100000000000001" customHeight="1">
      <c r="A196" s="90" t="s">
        <v>115</v>
      </c>
      <c r="B196" s="22"/>
      <c r="C196" s="43">
        <f>Zusatzeingaben!C198</f>
        <v>0</v>
      </c>
      <c r="D196" s="43">
        <f>Zusatzeingaben!D198</f>
        <v>0</v>
      </c>
      <c r="E196" s="43">
        <f>Zusatzeingaben!E198</f>
        <v>0</v>
      </c>
      <c r="F196" s="43">
        <f>Zusatzeingaben!F198</f>
        <v>0</v>
      </c>
      <c r="G196" s="43">
        <f>Zusatzeingaben!G198</f>
        <v>0</v>
      </c>
      <c r="H196" s="43">
        <f>Zusatzeingaben!H198</f>
        <v>0</v>
      </c>
      <c r="I196" s="43">
        <f>Zusatzeingaben!I198</f>
        <v>0</v>
      </c>
    </row>
    <row r="197" spans="1:9" s="2" customFormat="1" ht="20.100000000000001" customHeight="1" thickBot="1">
      <c r="A197" s="94" t="s">
        <v>115</v>
      </c>
      <c r="B197" s="12"/>
      <c r="C197" s="43">
        <f>Zusatzeingaben!C199</f>
        <v>0</v>
      </c>
      <c r="D197" s="43">
        <f>Zusatzeingaben!D199</f>
        <v>0</v>
      </c>
      <c r="E197" s="43">
        <f>Zusatzeingaben!E199</f>
        <v>0</v>
      </c>
      <c r="F197" s="43">
        <f>Zusatzeingaben!F199</f>
        <v>0</v>
      </c>
      <c r="G197" s="43">
        <f>Zusatzeingaben!G199</f>
        <v>0</v>
      </c>
      <c r="H197" s="43">
        <f>Zusatzeingaben!H199</f>
        <v>0</v>
      </c>
      <c r="I197" s="43">
        <f>Zusatzeingaben!I199</f>
        <v>0</v>
      </c>
    </row>
    <row r="198" spans="1:9" s="2" customFormat="1" ht="20.100000000000001" customHeight="1">
      <c r="A198" s="421"/>
      <c r="B198" s="55"/>
      <c r="C198" s="57">
        <f t="shared" ref="C198:I198" si="73">C172+C178+C190+C193+C194+C195+C196+C197+C223</f>
        <v>0</v>
      </c>
      <c r="D198" s="57">
        <f t="shared" si="73"/>
        <v>0</v>
      </c>
      <c r="E198" s="57">
        <f t="shared" si="73"/>
        <v>0</v>
      </c>
      <c r="F198" s="57">
        <f t="shared" si="73"/>
        <v>0</v>
      </c>
      <c r="G198" s="57">
        <f t="shared" si="73"/>
        <v>0</v>
      </c>
      <c r="H198" s="57">
        <f t="shared" si="73"/>
        <v>0</v>
      </c>
      <c r="I198" s="57">
        <f t="shared" si="73"/>
        <v>0</v>
      </c>
    </row>
    <row r="199" spans="1:9" s="2" customFormat="1" ht="21" customHeight="1" thickBot="1">
      <c r="A199" s="127" t="s">
        <v>26</v>
      </c>
      <c r="B199" s="45"/>
      <c r="C199" s="45">
        <f>C190+C193+C194+C195+C196+C197+C223+C141+C172+C178</f>
        <v>0</v>
      </c>
      <c r="D199" s="45">
        <f t="shared" ref="D199:I199" si="74">D190+D193+D194+D195+D196+D197+D223+D141+D172+D178</f>
        <v>0</v>
      </c>
      <c r="E199" s="45">
        <f t="shared" si="74"/>
        <v>0</v>
      </c>
      <c r="F199" s="45">
        <f t="shared" si="74"/>
        <v>0</v>
      </c>
      <c r="G199" s="45">
        <f t="shared" si="74"/>
        <v>0</v>
      </c>
      <c r="H199" s="45">
        <f t="shared" si="74"/>
        <v>0</v>
      </c>
      <c r="I199" s="45">
        <f t="shared" si="74"/>
        <v>0</v>
      </c>
    </row>
    <row r="200" spans="1:9" s="2" customFormat="1" ht="22.15" customHeight="1">
      <c r="A200" s="178" t="s">
        <v>66</v>
      </c>
      <c r="B200" s="354" t="s">
        <v>30</v>
      </c>
      <c r="C200" s="354" t="str">
        <f t="shared" ref="C200:I200" si="75">C4</f>
        <v>Antragsteller</v>
      </c>
      <c r="D200" s="354" t="str">
        <f t="shared" si="75"/>
        <v>Partner(in)</v>
      </c>
      <c r="E200" s="354" t="str">
        <f t="shared" si="75"/>
        <v>Kind 1</v>
      </c>
      <c r="F200" s="354" t="str">
        <f t="shared" si="75"/>
        <v>Kind 2</v>
      </c>
      <c r="G200" s="354" t="str">
        <f t="shared" si="75"/>
        <v>Kind 3</v>
      </c>
      <c r="H200" s="354" t="str">
        <f t="shared" si="75"/>
        <v>Kind 4</v>
      </c>
      <c r="I200" s="355" t="str">
        <f t="shared" si="75"/>
        <v>Kind 5</v>
      </c>
    </row>
    <row r="201" spans="1:9" s="2" customFormat="1" ht="20.100000000000001" customHeight="1">
      <c r="A201" s="97" t="s">
        <v>74</v>
      </c>
      <c r="B201" s="22"/>
      <c r="C201" s="62">
        <f>IF(AND(C22&gt;17,C199&gt;0),30,0)</f>
        <v>0</v>
      </c>
      <c r="D201" s="62">
        <f>IF(AND(D22&gt;17,D199&gt;0),30,0)</f>
        <v>0</v>
      </c>
      <c r="E201" s="62">
        <f>IF(AND(E18&gt;17,E18&lt;113,E199&gt;0),30,0)</f>
        <v>0</v>
      </c>
      <c r="F201" s="62">
        <f>IF(AND(F18&gt;17,F18&lt;113,F199&gt;0),30,0)</f>
        <v>0</v>
      </c>
      <c r="G201" s="62">
        <f>IF(AND(G18&gt;17,G18&lt;113,G199&gt;0),30,0)</f>
        <v>0</v>
      </c>
      <c r="H201" s="62">
        <f>IF(AND(H18&gt;17,H18&lt;113,H199&gt;0),30,0)</f>
        <v>0</v>
      </c>
      <c r="I201" s="110">
        <f>IF(AND(I18&gt;17,I18&lt;113,I199&gt;0),30,0)</f>
        <v>0</v>
      </c>
    </row>
    <row r="202" spans="1:9" s="2" customFormat="1" ht="20.100000000000001" customHeight="1">
      <c r="A202" s="97" t="s">
        <v>75</v>
      </c>
      <c r="B202" s="22"/>
      <c r="C202" s="26">
        <f>Zusatzeingaben!C204</f>
        <v>0</v>
      </c>
      <c r="D202" s="26">
        <f>Zusatzeingaben!D204</f>
        <v>0</v>
      </c>
      <c r="E202" s="26">
        <f>Zusatzeingaben!E204</f>
        <v>0</v>
      </c>
      <c r="F202" s="26">
        <f>Zusatzeingaben!F204</f>
        <v>0</v>
      </c>
      <c r="G202" s="26">
        <f>Zusatzeingaben!G204</f>
        <v>0</v>
      </c>
      <c r="H202" s="26">
        <f>Zusatzeingaben!H204</f>
        <v>0</v>
      </c>
      <c r="I202" s="26">
        <f>Zusatzeingaben!I204</f>
        <v>0</v>
      </c>
    </row>
    <row r="203" spans="1:9" s="2" customFormat="1" ht="20.100000000000001" customHeight="1" thickBot="1">
      <c r="A203" s="168" t="s">
        <v>218</v>
      </c>
      <c r="B203" s="44"/>
      <c r="C203" s="26">
        <f>Zusatzeingaben!C205</f>
        <v>0</v>
      </c>
      <c r="D203" s="26">
        <f>Zusatzeingaben!D205</f>
        <v>0</v>
      </c>
      <c r="E203" s="26">
        <f>Zusatzeingaben!E205</f>
        <v>0</v>
      </c>
      <c r="F203" s="26">
        <f>Zusatzeingaben!F205</f>
        <v>0</v>
      </c>
      <c r="G203" s="26">
        <f>Zusatzeingaben!G205</f>
        <v>0</v>
      </c>
      <c r="H203" s="26">
        <f>Zusatzeingaben!H205</f>
        <v>0</v>
      </c>
      <c r="I203" s="26">
        <f>Zusatzeingaben!I205</f>
        <v>0</v>
      </c>
    </row>
    <row r="204" spans="1:9" s="2" customFormat="1" ht="20.100000000000001" customHeight="1">
      <c r="A204" s="179" t="s">
        <v>73</v>
      </c>
      <c r="B204" s="49"/>
      <c r="C204" s="51"/>
      <c r="D204" s="51"/>
      <c r="E204" s="51"/>
      <c r="F204" s="51"/>
      <c r="G204" s="51"/>
      <c r="H204" s="51"/>
      <c r="I204" s="52"/>
    </row>
    <row r="205" spans="1:9" s="2" customFormat="1" ht="20.100000000000001" customHeight="1">
      <c r="A205" s="651" t="s">
        <v>204</v>
      </c>
      <c r="B205" s="40"/>
      <c r="C205" s="151">
        <f>Zusatzeingaben!C208</f>
        <v>0</v>
      </c>
      <c r="D205" s="151">
        <f>Zusatzeingaben!D208</f>
        <v>0</v>
      </c>
      <c r="E205" s="151">
        <f>Zusatzeingaben!E208</f>
        <v>0</v>
      </c>
      <c r="F205" s="151">
        <f>Zusatzeingaben!F208</f>
        <v>0</v>
      </c>
      <c r="G205" s="47"/>
      <c r="H205" s="47"/>
      <c r="I205" s="116"/>
    </row>
    <row r="206" spans="1:9" s="2" customFormat="1" ht="20.100000000000001" customHeight="1">
      <c r="A206" s="63" t="s">
        <v>202</v>
      </c>
      <c r="B206" s="22"/>
      <c r="C206" s="26">
        <f>Zusatzeingaben!C209</f>
        <v>0</v>
      </c>
      <c r="D206" s="26">
        <f>Zusatzeingaben!D209</f>
        <v>0</v>
      </c>
      <c r="E206" s="26">
        <f>Zusatzeingaben!E209</f>
        <v>0</v>
      </c>
      <c r="F206" s="26">
        <f>Zusatzeingaben!F209</f>
        <v>0</v>
      </c>
      <c r="G206" s="24"/>
      <c r="H206" s="24"/>
      <c r="I206" s="53"/>
    </row>
    <row r="207" spans="1:9" s="2" customFormat="1" ht="20.100000000000001" customHeight="1">
      <c r="A207" s="63" t="s">
        <v>203</v>
      </c>
      <c r="B207" s="22"/>
      <c r="C207" s="26">
        <f>Zusatzeingaben!C210</f>
        <v>0</v>
      </c>
      <c r="D207" s="26">
        <f>Zusatzeingaben!D210</f>
        <v>0</v>
      </c>
      <c r="E207" s="161"/>
      <c r="F207" s="161"/>
      <c r="G207" s="161"/>
      <c r="H207" s="161"/>
      <c r="I207" s="172"/>
    </row>
    <row r="208" spans="1:9" s="2" customFormat="1" ht="16.5" hidden="1">
      <c r="A208" s="113"/>
      <c r="B208" s="55"/>
      <c r="C208" s="132">
        <f>IF(C207=1,C206*1.5%,IF(C207&gt;1,5,C206*3%))</f>
        <v>0</v>
      </c>
      <c r="D208" s="132">
        <f>IF(D207=1,D206*1.5%,IF(D207&gt;1,5,D206*3%))</f>
        <v>0</v>
      </c>
      <c r="E208" s="132">
        <f>E206*3%</f>
        <v>0</v>
      </c>
      <c r="F208" s="132">
        <f>F206*3%</f>
        <v>0</v>
      </c>
      <c r="G208" s="132"/>
      <c r="H208" s="132"/>
      <c r="I208" s="133"/>
    </row>
    <row r="209" spans="1:9" s="2" customFormat="1" ht="16.5" hidden="1">
      <c r="A209" s="174"/>
      <c r="B209" s="6"/>
      <c r="C209" s="137">
        <f>IF(C208&lt;5,5,C208)</f>
        <v>5</v>
      </c>
      <c r="D209" s="137">
        <f t="shared" ref="D209:F209" si="76">IF(D208&lt;5,5,D208)</f>
        <v>5</v>
      </c>
      <c r="E209" s="137">
        <f t="shared" si="76"/>
        <v>5</v>
      </c>
      <c r="F209" s="137">
        <f t="shared" si="76"/>
        <v>5</v>
      </c>
      <c r="G209" s="137"/>
      <c r="H209" s="137"/>
      <c r="I209" s="175"/>
    </row>
    <row r="210" spans="1:9" s="2" customFormat="1" ht="16.5" hidden="1">
      <c r="A210" s="174"/>
      <c r="B210" s="6"/>
      <c r="C210" s="137">
        <f>IF(C205=TRUE,C209,0)</f>
        <v>0</v>
      </c>
      <c r="D210" s="137">
        <f t="shared" ref="D210:F210" si="77">IF(D205=TRUE,D209,0)</f>
        <v>0</v>
      </c>
      <c r="E210" s="137">
        <f t="shared" si="77"/>
        <v>0</v>
      </c>
      <c r="F210" s="137">
        <f t="shared" si="77"/>
        <v>0</v>
      </c>
      <c r="G210" s="137"/>
      <c r="H210" s="137"/>
      <c r="I210" s="175"/>
    </row>
    <row r="211" spans="1:9" s="2" customFormat="1" ht="16.5" hidden="1">
      <c r="A211" s="134" t="s">
        <v>90</v>
      </c>
      <c r="B211" s="135"/>
      <c r="C211" s="136">
        <f>C201+C202+C203+C210</f>
        <v>0</v>
      </c>
      <c r="D211" s="136">
        <f t="shared" ref="D211:I211" si="78">D201+D202+D203+D210</f>
        <v>0</v>
      </c>
      <c r="E211" s="136">
        <f t="shared" si="78"/>
        <v>0</v>
      </c>
      <c r="F211" s="136">
        <f t="shared" si="78"/>
        <v>0</v>
      </c>
      <c r="G211" s="136">
        <f t="shared" si="78"/>
        <v>0</v>
      </c>
      <c r="H211" s="136">
        <f t="shared" si="78"/>
        <v>0</v>
      </c>
      <c r="I211" s="176">
        <f t="shared" si="78"/>
        <v>0</v>
      </c>
    </row>
    <row r="212" spans="1:9" s="2" customFormat="1" ht="16.5" hidden="1">
      <c r="A212" s="134" t="s">
        <v>92</v>
      </c>
      <c r="B212" s="135"/>
      <c r="C212" s="136">
        <f t="shared" ref="C212:I212" si="79">C211+C124+C127+C147</f>
        <v>0</v>
      </c>
      <c r="D212" s="136">
        <f t="shared" si="79"/>
        <v>0</v>
      </c>
      <c r="E212" s="136">
        <f t="shared" si="79"/>
        <v>0</v>
      </c>
      <c r="F212" s="136">
        <f t="shared" si="79"/>
        <v>0</v>
      </c>
      <c r="G212" s="136">
        <f t="shared" si="79"/>
        <v>0</v>
      </c>
      <c r="H212" s="136">
        <f t="shared" si="79"/>
        <v>0</v>
      </c>
      <c r="I212" s="176">
        <f t="shared" si="79"/>
        <v>0</v>
      </c>
    </row>
    <row r="213" spans="1:9" s="2" customFormat="1" ht="16.5" hidden="1">
      <c r="A213" s="141"/>
      <c r="B213" s="40"/>
      <c r="C213" s="47">
        <f>IF(C212&lt;100,100,C212)</f>
        <v>100</v>
      </c>
      <c r="D213" s="47">
        <f t="shared" ref="D213:I213" si="80">IF(D212&lt;100,100,D212)</f>
        <v>100</v>
      </c>
      <c r="E213" s="47">
        <f t="shared" si="80"/>
        <v>100</v>
      </c>
      <c r="F213" s="47">
        <f t="shared" si="80"/>
        <v>100</v>
      </c>
      <c r="G213" s="47">
        <f t="shared" si="80"/>
        <v>100</v>
      </c>
      <c r="H213" s="47">
        <f t="shared" si="80"/>
        <v>100</v>
      </c>
      <c r="I213" s="116">
        <f t="shared" si="80"/>
        <v>100</v>
      </c>
    </row>
    <row r="214" spans="1:9" s="2" customFormat="1" ht="16.5" hidden="1">
      <c r="A214" s="141"/>
      <c r="B214" s="40"/>
      <c r="C214" s="47">
        <f>IF(C212&lt;200,200,C212)</f>
        <v>200</v>
      </c>
      <c r="D214" s="47">
        <f t="shared" ref="D214:I214" si="81">IF(D212&lt;200,200,D212)</f>
        <v>200</v>
      </c>
      <c r="E214" s="47">
        <f t="shared" si="81"/>
        <v>200</v>
      </c>
      <c r="F214" s="47">
        <f t="shared" si="81"/>
        <v>200</v>
      </c>
      <c r="G214" s="47">
        <f t="shared" si="81"/>
        <v>200</v>
      </c>
      <c r="H214" s="47">
        <f t="shared" si="81"/>
        <v>200</v>
      </c>
      <c r="I214" s="116">
        <f t="shared" si="81"/>
        <v>200</v>
      </c>
    </row>
    <row r="215" spans="1:9" s="2" customFormat="1" ht="33" customHeight="1">
      <c r="A215" s="124" t="s">
        <v>208</v>
      </c>
      <c r="B215" s="22"/>
      <c r="C215" s="26">
        <f>Zusatzeingaben!C218+einmaligesEK!C12</f>
        <v>0</v>
      </c>
      <c r="D215" s="26">
        <f>Zusatzeingaben!D218+einmaligesEK!D12</f>
        <v>0</v>
      </c>
      <c r="E215" s="26">
        <f>Zusatzeingaben!E218+einmaligesEK!E12</f>
        <v>0</v>
      </c>
      <c r="F215" s="26">
        <f>Zusatzeingaben!F218+einmaligesEK!F12</f>
        <v>0</v>
      </c>
      <c r="G215" s="26">
        <f>Zusatzeingaben!G218+einmaligesEK!G12</f>
        <v>0</v>
      </c>
      <c r="H215" s="26">
        <f>Zusatzeingaben!H218+einmaligesEK!H12</f>
        <v>0</v>
      </c>
      <c r="I215" s="26">
        <f>Zusatzeingaben!I218+einmaligesEK!I12</f>
        <v>0</v>
      </c>
    </row>
    <row r="216" spans="1:9" ht="20.100000000000001" customHeight="1">
      <c r="A216" s="97" t="s">
        <v>77</v>
      </c>
      <c r="B216" s="22"/>
      <c r="C216" s="26">
        <f>Zusatzeingaben!C219</f>
        <v>0</v>
      </c>
      <c r="D216" s="26">
        <f>Zusatzeingaben!D219</f>
        <v>0</v>
      </c>
      <c r="E216" s="24"/>
      <c r="F216" s="24"/>
      <c r="G216" s="24"/>
      <c r="H216" s="24"/>
      <c r="I216" s="53"/>
    </row>
    <row r="217" spans="1:9" s="2" customFormat="1" ht="20.100000000000001" customHeight="1">
      <c r="A217" s="79" t="s">
        <v>215</v>
      </c>
      <c r="B217" s="710"/>
      <c r="C217" s="26">
        <f>Zusatzeingaben!C221</f>
        <v>0</v>
      </c>
      <c r="D217" s="26">
        <f>Zusatzeingaben!D221</f>
        <v>0</v>
      </c>
      <c r="E217" s="26">
        <f>Zusatzeingaben!E221</f>
        <v>0</v>
      </c>
      <c r="F217" s="26">
        <f>Zusatzeingaben!F221</f>
        <v>0</v>
      </c>
      <c r="G217" s="26">
        <f>Zusatzeingaben!G221</f>
        <v>0</v>
      </c>
      <c r="H217" s="26">
        <f>Zusatzeingaben!H221</f>
        <v>0</v>
      </c>
      <c r="I217" s="26">
        <f>Zusatzeingaben!I221</f>
        <v>0</v>
      </c>
    </row>
    <row r="218" spans="1:9" s="2" customFormat="1" ht="20.100000000000001" customHeight="1">
      <c r="A218" s="79" t="s">
        <v>216</v>
      </c>
      <c r="B218" s="710"/>
      <c r="C218" s="26">
        <f>Zusatzeingaben!C222</f>
        <v>0</v>
      </c>
      <c r="D218" s="26">
        <f>Zusatzeingaben!D222</f>
        <v>0</v>
      </c>
      <c r="E218" s="26">
        <f>Zusatzeingaben!E222</f>
        <v>0</v>
      </c>
      <c r="F218" s="26">
        <f>Zusatzeingaben!F222</f>
        <v>0</v>
      </c>
      <c r="G218" s="26">
        <f>Zusatzeingaben!G222</f>
        <v>0</v>
      </c>
      <c r="H218" s="26">
        <f>Zusatzeingaben!H222</f>
        <v>0</v>
      </c>
      <c r="I218" s="26">
        <f>Zusatzeingaben!I222</f>
        <v>0</v>
      </c>
    </row>
    <row r="219" spans="1:9" s="2" customFormat="1" ht="20.100000000000001" hidden="1" customHeight="1">
      <c r="A219" s="79"/>
      <c r="B219" s="710"/>
      <c r="C219" s="663">
        <f>IF(C218="1. PV",C33*30%,IF(C218="2. PV",C33*60%,IF(C218="3. PV",'Berechnung mit Einmalzahlung'!C177,0)))</f>
        <v>0</v>
      </c>
      <c r="D219" s="663">
        <f>IF(D218="1. PV",D33*30%,IF(D218="2. PV",D33*60%,IF(D218="3. PV",'Berechnung mit Einmalzahlung'!D177,0)))</f>
        <v>0</v>
      </c>
      <c r="E219" s="663">
        <f>IF(E218="1. PV",E33*30%,IF(E218="2. PV",E33*60%,IF(E218="3. PV",'Berechnung mit Einmalzahlung'!E177,0)))</f>
        <v>0</v>
      </c>
      <c r="F219" s="659"/>
      <c r="G219" s="659"/>
      <c r="H219" s="659"/>
      <c r="I219" s="712"/>
    </row>
    <row r="220" spans="1:9" s="2" customFormat="1" ht="20.100000000000001" hidden="1" customHeight="1">
      <c r="A220" s="79"/>
      <c r="B220" s="710"/>
      <c r="C220" s="663">
        <f>IF(C218="1. PV",'Berechnung mit Einmalzahlung'!C179,IF(C218="2. PV",'Berechnung mit Einmalzahlung'!C177,IF(C218="3. PV",'Berechnung mit Einmalzahlung'!C177,0)))</f>
        <v>0</v>
      </c>
      <c r="D220" s="663">
        <f>IF(D218="1. PV",'Berechnung mit Einmalzahlung'!D179,IF(D218="2. PV",'Berechnung mit Einmalzahlung'!D177,IF(D218="3. PV",'Berechnung mit Einmalzahlung'!D177,0)))</f>
        <v>0</v>
      </c>
      <c r="E220" s="663">
        <f>IF(E218="1. PV",'Berechnung mit Einmalzahlung'!E179,IF(E218="2. PV",'Berechnung mit Einmalzahlung'!E177,IF(E218="3. PV",'Berechnung mit Einmalzahlung'!E177,0)))</f>
        <v>0</v>
      </c>
      <c r="F220" s="663">
        <f>IF(F218="1. PV",'Berechnung mit Einmalzahlung'!F179,IF(F218="2. PV",'Berechnung mit Einmalzahlung'!F177,IF(F218="3. PV",'Berechnung mit Einmalzahlung'!F177,0)))</f>
        <v>0</v>
      </c>
      <c r="G220" s="663">
        <f>IF(G218="1. PV",'Berechnung mit Einmalzahlung'!G179,IF(G218="2. PV",'Berechnung mit Einmalzahlung'!G177,IF(G218="3. PV",'Berechnung mit Einmalzahlung'!G177,0)))</f>
        <v>0</v>
      </c>
      <c r="H220" s="663">
        <f>IF(H218="1. PV",'Berechnung mit Einmalzahlung'!H179,IF(H218="2. PV",'Berechnung mit Einmalzahlung'!H177,IF(H218="3. PV",'Berechnung mit Einmalzahlung'!H177,0)))</f>
        <v>0</v>
      </c>
      <c r="I220" s="711">
        <f>IF(I218="1. PV",'Berechnung mit Einmalzahlung'!I179,IF(I218="2. PV",'Berechnung mit Einmalzahlung'!I177,IF(I218="3. PV",'Berechnung mit Einmalzahlung'!I177,0)))</f>
        <v>0</v>
      </c>
    </row>
    <row r="221" spans="1:9" s="2" customFormat="1" ht="20.100000000000001" hidden="1" customHeight="1">
      <c r="A221" s="79"/>
      <c r="B221" s="710"/>
      <c r="C221" s="663">
        <f>IF(C222="unter 25",C220,C219)</f>
        <v>0</v>
      </c>
      <c r="D221" s="663">
        <f t="shared" ref="D221:E221" si="82">IF(D222="unter 25",D220,D219)</f>
        <v>0</v>
      </c>
      <c r="E221" s="663">
        <f t="shared" si="82"/>
        <v>0</v>
      </c>
      <c r="F221" s="659">
        <f>F220</f>
        <v>0</v>
      </c>
      <c r="G221" s="659">
        <f t="shared" ref="G221:I221" si="83">G220</f>
        <v>0</v>
      </c>
      <c r="H221" s="659">
        <f t="shared" si="83"/>
        <v>0</v>
      </c>
      <c r="I221" s="712">
        <f t="shared" si="83"/>
        <v>0</v>
      </c>
    </row>
    <row r="222" spans="1:9" s="2" customFormat="1" ht="20.100000000000001" customHeight="1" thickBot="1">
      <c r="A222" s="123" t="s">
        <v>217</v>
      </c>
      <c r="B222" s="4"/>
      <c r="C222" s="660">
        <f>Zusatzeingaben!C226</f>
        <v>0</v>
      </c>
      <c r="D222" s="660">
        <f>Zusatzeingaben!D226</f>
        <v>0</v>
      </c>
      <c r="E222" s="660">
        <f>Zusatzeingaben!E226</f>
        <v>0</v>
      </c>
      <c r="F222" s="662"/>
      <c r="G222" s="662"/>
      <c r="H222" s="662"/>
      <c r="I222" s="713"/>
    </row>
    <row r="223" spans="1:9" s="2" customFormat="1" ht="20.100000000000001" customHeight="1">
      <c r="A223" s="790" t="str">
        <f>einmaligesEK!A11</f>
        <v>Steuererstattung</v>
      </c>
      <c r="B223" s="55"/>
      <c r="C223" s="791">
        <f>einmaligesEK!C11</f>
        <v>0</v>
      </c>
      <c r="D223" s="791">
        <f>einmaligesEK!D11</f>
        <v>0</v>
      </c>
      <c r="E223" s="791">
        <f>einmaligesEK!E11</f>
        <v>0</v>
      </c>
      <c r="F223" s="791">
        <f>einmaligesEK!F11</f>
        <v>0</v>
      </c>
      <c r="G223" s="791">
        <f>einmaligesEK!G11</f>
        <v>0</v>
      </c>
      <c r="H223" s="791">
        <f>einmaligesEK!H11</f>
        <v>0</v>
      </c>
      <c r="I223" s="791">
        <f>einmaligesEK!I11</f>
        <v>0</v>
      </c>
    </row>
    <row r="224" spans="1:9" s="2" customFormat="1" ht="20.100000000000001" customHeight="1">
      <c r="A224" s="752" t="s">
        <v>234</v>
      </c>
      <c r="B224" s="753"/>
      <c r="C224" s="754" t="s">
        <v>235</v>
      </c>
      <c r="D224" s="754" t="s">
        <v>236</v>
      </c>
      <c r="E224" s="754" t="s">
        <v>237</v>
      </c>
      <c r="F224" s="754" t="s">
        <v>239</v>
      </c>
      <c r="G224" s="754" t="s">
        <v>240</v>
      </c>
      <c r="H224" s="751"/>
      <c r="I224" s="751"/>
    </row>
    <row r="225" spans="1:9" s="2" customFormat="1" ht="20.100000000000001" customHeight="1">
      <c r="A225" s="755" t="s">
        <v>238</v>
      </c>
      <c r="B225" s="710"/>
      <c r="C225" s="26"/>
      <c r="D225" s="143"/>
      <c r="E225" s="143"/>
      <c r="F225" s="30">
        <f>IF(E225-D225+1&lt;30,E225-D225+1,30)</f>
        <v>1</v>
      </c>
      <c r="G225" s="756">
        <f>C225/30*F225</f>
        <v>0</v>
      </c>
      <c r="H225" s="751"/>
      <c r="I225" s="751"/>
    </row>
    <row r="226" spans="1:9" s="2" customFormat="1" ht="20.100000000000001" customHeight="1">
      <c r="A226" s="571"/>
      <c r="B226" s="3"/>
      <c r="C226" s="751"/>
      <c r="D226" s="751"/>
      <c r="E226" s="751"/>
      <c r="F226" s="751"/>
      <c r="G226" s="751"/>
      <c r="H226" s="751"/>
      <c r="I226" s="751"/>
    </row>
    <row r="227" spans="1:9" s="2" customFormat="1" ht="20.100000000000001" hidden="1" customHeight="1">
      <c r="A227" s="255" t="s">
        <v>43</v>
      </c>
      <c r="B227" s="64"/>
      <c r="C227" s="643">
        <f>VLOOKUP(E2,Bedarfssätze!B7:C17,2)</f>
        <v>409</v>
      </c>
      <c r="D227" s="643">
        <f>VLOOKUP(E2,Bedarfssätze!E7:F17,2)</f>
        <v>368</v>
      </c>
      <c r="E227" s="643">
        <f>VLOOKUP(E2,Bedarfssätze!H7:I17,2)</f>
        <v>327</v>
      </c>
      <c r="F227" s="643">
        <f>VLOOKUP(E2,Bedarfssätze!B25:C35,2)</f>
        <v>311</v>
      </c>
      <c r="G227" s="643">
        <f>VLOOKUP(E2,Bedarfssätze!E25:F35,2)</f>
        <v>291</v>
      </c>
      <c r="H227" s="643">
        <f>VLOOKUP(E2,Bedarfssätze!H25:I35,2)</f>
        <v>237</v>
      </c>
      <c r="I227" s="64"/>
    </row>
    <row r="228" spans="1:9" s="2" customFormat="1" ht="20.100000000000001" customHeight="1" thickBot="1">
      <c r="A228" s="180"/>
      <c r="B228" s="180"/>
      <c r="C228" s="180"/>
      <c r="D228" s="180"/>
      <c r="E228" s="180"/>
      <c r="F228" s="180"/>
      <c r="G228" s="180"/>
      <c r="H228" s="180"/>
      <c r="I228" s="180"/>
    </row>
    <row r="229" spans="1:9" s="5" customFormat="1" ht="20.100000000000001" customHeight="1" thickBot="1">
      <c r="A229" s="256" t="s">
        <v>104</v>
      </c>
      <c r="B229" s="646">
        <f>IF(Berechnung!B161&gt;0,Berechnung!B161,"0,00 €")</f>
        <v>416</v>
      </c>
      <c r="C229" s="182"/>
      <c r="D229" s="64"/>
      <c r="E229" s="64"/>
      <c r="F229" s="64"/>
      <c r="G229" s="64"/>
      <c r="H229" s="64"/>
      <c r="I229" s="64"/>
    </row>
    <row r="230" spans="1:9" s="5" customFormat="1" ht="20.100000000000001" customHeight="1">
      <c r="A230" s="657" t="s">
        <v>214</v>
      </c>
      <c r="B230" s="64"/>
      <c r="C230" s="64"/>
      <c r="D230" s="64"/>
      <c r="E230" s="64"/>
      <c r="F230" s="64"/>
      <c r="G230" s="64"/>
      <c r="H230" s="64"/>
      <c r="I230" s="64"/>
    </row>
    <row r="231" spans="1:9" s="2" customFormat="1" ht="20.100000000000001" customHeight="1">
      <c r="A231" s="180"/>
      <c r="B231" s="64"/>
      <c r="C231" s="64"/>
      <c r="D231" s="64"/>
      <c r="E231" s="64"/>
      <c r="F231" s="64"/>
      <c r="G231" s="64"/>
      <c r="H231" s="64"/>
      <c r="I231" s="64"/>
    </row>
    <row r="232" spans="1:9" s="2" customFormat="1" ht="20.100000000000001" customHeight="1">
      <c r="A232" s="183"/>
      <c r="B232" s="183"/>
      <c r="C232" s="183"/>
      <c r="D232" s="183"/>
      <c r="E232" s="183"/>
      <c r="F232" s="183"/>
      <c r="G232" s="183"/>
      <c r="H232" s="183"/>
      <c r="I232" s="183"/>
    </row>
    <row r="233" spans="1:9" s="2" customFormat="1" ht="20.100000000000001" customHeight="1">
      <c r="A233" s="184"/>
      <c r="B233" s="64"/>
      <c r="C233" s="180"/>
      <c r="D233" s="185"/>
      <c r="E233" s="185"/>
      <c r="F233" s="185"/>
      <c r="G233" s="185"/>
      <c r="H233" s="185"/>
      <c r="I233" s="185"/>
    </row>
    <row r="234" spans="1:9" ht="20.100000000000001" customHeight="1">
      <c r="A234" s="186"/>
      <c r="B234" s="187"/>
      <c r="C234" s="187"/>
      <c r="D234" s="187"/>
      <c r="E234" s="187"/>
      <c r="F234" s="187"/>
      <c r="G234" s="187"/>
      <c r="H234" s="187"/>
      <c r="I234" s="187"/>
    </row>
    <row r="235" spans="1:9" ht="20.100000000000001" customHeight="1">
      <c r="A235" s="186"/>
      <c r="B235" s="615"/>
      <c r="C235" s="644">
        <f>VLOOKUP($E$2,Bedarfssätze!B90:C91,2)</f>
        <v>190</v>
      </c>
      <c r="D235" s="644">
        <f>VLOOKUP($E$2,Bedarfssätze!E90:F91,2)</f>
        <v>190</v>
      </c>
      <c r="E235" s="644">
        <f>VLOOKUP($E$2,Bedarfssätze!H90:I91,2)</f>
        <v>192</v>
      </c>
      <c r="F235" s="644">
        <f>VLOOKUP($E$2,Bedarfssätze!B99:C100,2)</f>
        <v>199.25</v>
      </c>
      <c r="G235" s="644">
        <f>VLOOKUP($E$2,Bedarfssätze!E99:F100,2)</f>
        <v>203.6</v>
      </c>
      <c r="H235" s="187"/>
      <c r="I235" s="187"/>
    </row>
    <row r="236" spans="1:9" ht="20.100000000000001" customHeight="1">
      <c r="A236" s="186"/>
      <c r="B236" s="615"/>
      <c r="C236" s="644">
        <f>VLOOKUP($E$2,Bedarfssätze!B112:C115,2)</f>
        <v>150</v>
      </c>
      <c r="D236" s="644">
        <f>VLOOKUP($E$2,Bedarfssätze!E112:F115,2)</f>
        <v>201</v>
      </c>
      <c r="E236" s="644">
        <f>VLOOKUP($E$2,Bedarfssätze!H112:I115,2)</f>
        <v>268</v>
      </c>
      <c r="F236" s="645"/>
      <c r="G236" s="645"/>
      <c r="H236" s="187"/>
      <c r="I236" s="187"/>
    </row>
    <row r="237" spans="1:9" ht="20.100000000000001" customHeight="1">
      <c r="A237" s="186"/>
      <c r="B237" s="615"/>
      <c r="C237" s="187"/>
      <c r="D237" s="187"/>
      <c r="E237" s="187"/>
      <c r="F237" s="187"/>
      <c r="G237" s="187"/>
      <c r="H237" s="187"/>
      <c r="I237" s="187"/>
    </row>
    <row r="238" spans="1:9" ht="20.100000000000001" customHeight="1">
      <c r="A238" s="186"/>
      <c r="B238" s="615"/>
      <c r="C238" s="187"/>
      <c r="D238" s="187"/>
      <c r="E238" s="187"/>
      <c r="F238" s="187"/>
      <c r="G238" s="187"/>
      <c r="H238" s="187"/>
      <c r="I238" s="187"/>
    </row>
    <row r="239" spans="1:9" ht="20.100000000000001" customHeight="1">
      <c r="A239" s="186"/>
      <c r="B239" s="187"/>
      <c r="C239" s="187"/>
      <c r="D239" s="187"/>
      <c r="E239" s="187"/>
      <c r="F239" s="187"/>
      <c r="G239" s="187"/>
      <c r="H239" s="187"/>
      <c r="I239" s="187"/>
    </row>
    <row r="240" spans="1:9" ht="20.100000000000001" customHeight="1">
      <c r="A240" s="186"/>
      <c r="B240" s="187"/>
      <c r="C240" s="187"/>
      <c r="D240" s="187"/>
      <c r="E240" s="187"/>
      <c r="F240" s="187"/>
      <c r="G240" s="187"/>
      <c r="H240" s="187"/>
      <c r="I240" s="187"/>
    </row>
    <row r="241" spans="1:9" ht="20.100000000000001" customHeight="1">
      <c r="A241" s="186"/>
      <c r="B241" s="187"/>
      <c r="C241" s="187"/>
      <c r="D241" s="187"/>
      <c r="E241" s="187"/>
      <c r="F241" s="187"/>
      <c r="G241" s="187"/>
      <c r="H241" s="187"/>
      <c r="I241" s="187"/>
    </row>
    <row r="242" spans="1:9" ht="20.100000000000001" customHeight="1">
      <c r="A242" s="186"/>
      <c r="B242" s="187"/>
      <c r="C242" s="187"/>
      <c r="D242" s="187"/>
      <c r="E242" s="187"/>
      <c r="F242" s="187"/>
      <c r="G242" s="187"/>
      <c r="H242" s="187"/>
      <c r="I242" s="187"/>
    </row>
    <row r="243" spans="1:9" ht="20.100000000000001" customHeight="1">
      <c r="A243" s="186"/>
      <c r="B243" s="186"/>
      <c r="C243" s="186"/>
      <c r="D243" s="186"/>
      <c r="E243" s="186"/>
      <c r="F243" s="186"/>
      <c r="G243" s="186"/>
      <c r="H243" s="186"/>
      <c r="I243" s="186"/>
    </row>
    <row r="244" spans="1:9" ht="20.100000000000001" customHeight="1">
      <c r="A244" s="186"/>
      <c r="B244" s="186"/>
      <c r="C244" s="186"/>
      <c r="D244" s="186"/>
      <c r="E244" s="186"/>
      <c r="F244" s="186"/>
      <c r="G244" s="186"/>
      <c r="H244" s="186"/>
      <c r="I244" s="186"/>
    </row>
    <row r="245" spans="1:9" ht="20.100000000000001" customHeight="1">
      <c r="A245" s="186"/>
      <c r="B245" s="186"/>
      <c r="C245" s="186"/>
      <c r="D245" s="186"/>
      <c r="E245" s="186"/>
      <c r="F245" s="186"/>
      <c r="G245" s="186"/>
      <c r="H245" s="186"/>
      <c r="I245" s="186"/>
    </row>
    <row r="246" spans="1:9" ht="20.100000000000001" customHeight="1">
      <c r="A246" s="186"/>
      <c r="B246" s="186"/>
      <c r="C246" s="186"/>
      <c r="D246" s="186"/>
      <c r="E246" s="186"/>
      <c r="F246" s="186"/>
      <c r="G246" s="186"/>
      <c r="H246" s="186"/>
      <c r="I246" s="186"/>
    </row>
    <row r="247" spans="1:9" ht="20.100000000000001" customHeight="1">
      <c r="A247" s="186"/>
      <c r="B247" s="186"/>
      <c r="C247" s="186"/>
      <c r="D247" s="186"/>
      <c r="E247" s="186"/>
      <c r="F247" s="186"/>
      <c r="G247" s="186"/>
      <c r="H247" s="186"/>
      <c r="I247" s="186"/>
    </row>
    <row r="248" spans="1:9" ht="20.100000000000001" customHeight="1">
      <c r="A248" s="186"/>
      <c r="B248" s="186"/>
      <c r="C248" s="186"/>
      <c r="D248" s="186"/>
      <c r="E248" s="186"/>
      <c r="F248" s="186"/>
      <c r="G248" s="186"/>
      <c r="H248" s="186"/>
      <c r="I248" s="186"/>
    </row>
    <row r="249" spans="1:9" ht="20.100000000000001" customHeight="1">
      <c r="A249" s="186"/>
      <c r="B249" s="186"/>
      <c r="C249" s="186"/>
      <c r="D249" s="186"/>
      <c r="E249" s="186"/>
      <c r="F249" s="186"/>
      <c r="G249" s="186"/>
      <c r="H249" s="186"/>
      <c r="I249" s="186"/>
    </row>
    <row r="250" spans="1:9" ht="20.100000000000001" customHeight="1">
      <c r="A250" s="186"/>
      <c r="B250" s="186"/>
      <c r="C250" s="186"/>
      <c r="D250" s="186"/>
      <c r="E250" s="186"/>
      <c r="F250" s="186"/>
      <c r="G250" s="186"/>
      <c r="H250" s="186"/>
      <c r="I250" s="186"/>
    </row>
    <row r="251" spans="1:9" ht="20.100000000000001" customHeight="1">
      <c r="A251" s="186"/>
      <c r="B251" s="186"/>
      <c r="C251" s="186"/>
      <c r="D251" s="186"/>
      <c r="E251" s="186"/>
      <c r="F251" s="186"/>
      <c r="G251" s="186"/>
      <c r="H251" s="186"/>
      <c r="I251" s="186"/>
    </row>
    <row r="252" spans="1:9" ht="20.100000000000001" customHeight="1">
      <c r="A252" s="186"/>
      <c r="B252" s="186"/>
      <c r="C252" s="186"/>
      <c r="D252" s="186"/>
      <c r="E252" s="186"/>
      <c r="F252" s="186"/>
      <c r="G252" s="186"/>
      <c r="H252" s="186"/>
      <c r="I252" s="186"/>
    </row>
    <row r="253" spans="1:9" ht="20.100000000000001" customHeight="1">
      <c r="A253" s="186"/>
      <c r="B253" s="186"/>
      <c r="C253" s="188"/>
      <c r="D253" s="188"/>
      <c r="E253" s="188"/>
      <c r="F253" s="188"/>
      <c r="G253" s="188"/>
      <c r="H253" s="188"/>
      <c r="I253" s="188"/>
    </row>
    <row r="254" spans="1:9" ht="20.100000000000001" customHeight="1">
      <c r="A254" s="186"/>
      <c r="B254" s="186"/>
      <c r="C254" s="188"/>
      <c r="D254" s="188"/>
      <c r="E254" s="188"/>
      <c r="F254" s="188"/>
      <c r="G254" s="188"/>
      <c r="H254" s="188"/>
      <c r="I254" s="188"/>
    </row>
    <row r="255" spans="1:9" ht="20.100000000000001" customHeight="1">
      <c r="A255" s="186"/>
      <c r="B255" s="186"/>
      <c r="C255" s="188"/>
      <c r="D255" s="188"/>
      <c r="E255" s="188"/>
      <c r="F255" s="188"/>
      <c r="G255" s="188"/>
      <c r="H255" s="188"/>
      <c r="I255" s="188"/>
    </row>
    <row r="256" spans="1:9" ht="20.100000000000001" customHeight="1">
      <c r="A256" s="186"/>
      <c r="B256" s="186"/>
      <c r="C256" s="188"/>
      <c r="D256" s="188"/>
      <c r="E256" s="188"/>
      <c r="F256" s="188"/>
      <c r="G256" s="188"/>
      <c r="H256" s="188"/>
      <c r="I256" s="188"/>
    </row>
    <row r="257" spans="1:9" ht="20.100000000000001" customHeight="1">
      <c r="A257" s="186"/>
      <c r="B257" s="186"/>
      <c r="C257" s="188"/>
      <c r="D257" s="188"/>
      <c r="E257" s="188"/>
      <c r="F257" s="188"/>
      <c r="G257" s="188"/>
      <c r="H257" s="188"/>
      <c r="I257" s="188"/>
    </row>
    <row r="258" spans="1:9" ht="20.100000000000001" customHeight="1">
      <c r="A258" s="186"/>
      <c r="B258" s="186"/>
      <c r="C258" s="188"/>
      <c r="D258" s="188"/>
      <c r="E258" s="188"/>
      <c r="F258" s="188"/>
      <c r="G258" s="188"/>
      <c r="H258" s="188"/>
      <c r="I258" s="188"/>
    </row>
    <row r="259" spans="1:9" ht="20.100000000000001" customHeight="1">
      <c r="A259" s="186"/>
      <c r="B259" s="186"/>
      <c r="C259" s="188"/>
      <c r="D259" s="188"/>
      <c r="E259" s="188"/>
      <c r="F259" s="188"/>
      <c r="G259" s="188"/>
      <c r="H259" s="188"/>
      <c r="I259" s="188"/>
    </row>
    <row r="260" spans="1:9" ht="20.100000000000001" customHeight="1">
      <c r="A260" s="186"/>
      <c r="B260" s="186"/>
      <c r="C260" s="188"/>
      <c r="D260" s="188"/>
      <c r="E260" s="188"/>
      <c r="F260" s="188"/>
      <c r="G260" s="188"/>
      <c r="H260" s="188"/>
      <c r="I260" s="188"/>
    </row>
    <row r="261" spans="1:9" ht="20.100000000000001" customHeight="1">
      <c r="A261" s="186"/>
      <c r="B261" s="186"/>
      <c r="C261" s="188"/>
      <c r="D261" s="188"/>
      <c r="E261" s="188"/>
      <c r="F261" s="188"/>
      <c r="G261" s="188"/>
      <c r="H261" s="188"/>
      <c r="I261" s="188"/>
    </row>
    <row r="262" spans="1:9" ht="20.100000000000001" customHeight="1">
      <c r="A262" s="186"/>
      <c r="B262" s="186"/>
      <c r="C262" s="188"/>
      <c r="D262" s="188"/>
      <c r="E262" s="188"/>
      <c r="F262" s="188"/>
      <c r="G262" s="188"/>
      <c r="H262" s="188"/>
      <c r="I262" s="188"/>
    </row>
    <row r="263" spans="1:9" ht="20.100000000000001" customHeight="1">
      <c r="A263" s="186"/>
      <c r="B263" s="186"/>
      <c r="C263" s="186"/>
      <c r="D263" s="186"/>
      <c r="E263" s="186"/>
      <c r="F263" s="186"/>
      <c r="G263" s="186"/>
      <c r="H263" s="186"/>
      <c r="I263" s="186"/>
    </row>
    <row r="264" spans="1:9" ht="20.100000000000001" customHeight="1">
      <c r="A264" s="186"/>
      <c r="B264" s="186"/>
      <c r="C264" s="186"/>
      <c r="D264" s="186"/>
      <c r="E264" s="186"/>
      <c r="F264" s="186"/>
      <c r="G264" s="186"/>
      <c r="H264" s="186"/>
      <c r="I264" s="186"/>
    </row>
    <row r="265" spans="1:9" ht="20.100000000000001" customHeight="1">
      <c r="A265" s="186"/>
      <c r="B265" s="186"/>
      <c r="C265" s="186"/>
      <c r="D265" s="186"/>
      <c r="E265" s="186"/>
      <c r="F265" s="186"/>
      <c r="G265" s="186"/>
      <c r="H265" s="186"/>
      <c r="I265" s="186"/>
    </row>
    <row r="266" spans="1:9" ht="20.100000000000001" customHeight="1">
      <c r="A266" s="186"/>
      <c r="B266" s="186"/>
      <c r="C266" s="186"/>
      <c r="D266" s="186"/>
      <c r="E266" s="186"/>
      <c r="F266" s="186"/>
      <c r="G266" s="186"/>
      <c r="H266" s="186"/>
      <c r="I266" s="186"/>
    </row>
    <row r="267" spans="1:9" ht="20.100000000000001" customHeight="1">
      <c r="A267" s="186"/>
      <c r="B267" s="186"/>
      <c r="C267" s="186"/>
      <c r="D267" s="186"/>
      <c r="E267" s="186"/>
      <c r="F267" s="186"/>
      <c r="G267" s="186"/>
      <c r="H267" s="186"/>
      <c r="I267" s="186"/>
    </row>
    <row r="268" spans="1:9" ht="20.100000000000001" customHeight="1">
      <c r="A268" s="186"/>
      <c r="B268" s="186"/>
      <c r="C268" s="186"/>
      <c r="D268" s="186"/>
      <c r="E268" s="186"/>
      <c r="F268" s="186"/>
      <c r="G268" s="186"/>
      <c r="H268" s="186"/>
      <c r="I268" s="186"/>
    </row>
    <row r="269" spans="1:9" ht="20.100000000000001" customHeight="1">
      <c r="A269" s="186"/>
      <c r="B269" s="186"/>
      <c r="C269" s="186"/>
      <c r="D269" s="186"/>
      <c r="E269" s="186"/>
      <c r="F269" s="186"/>
      <c r="G269" s="186"/>
      <c r="H269" s="186"/>
      <c r="I269" s="186"/>
    </row>
    <row r="270" spans="1:9" ht="20.100000000000001" customHeight="1">
      <c r="A270" s="186"/>
      <c r="B270" s="186"/>
      <c r="C270" s="186"/>
      <c r="D270" s="186"/>
      <c r="E270" s="186"/>
      <c r="F270" s="186"/>
      <c r="G270" s="186"/>
      <c r="H270" s="186"/>
      <c r="I270" s="186"/>
    </row>
    <row r="271" spans="1:9" ht="20.100000000000001" customHeight="1">
      <c r="A271" s="186"/>
      <c r="B271" s="186"/>
      <c r="C271" s="186"/>
      <c r="D271" s="186"/>
      <c r="E271" s="186"/>
      <c r="F271" s="186"/>
      <c r="G271" s="186"/>
      <c r="H271" s="186"/>
      <c r="I271" s="186"/>
    </row>
    <row r="272" spans="1:9" ht="20.100000000000001" customHeight="1">
      <c r="A272" s="186"/>
      <c r="B272" s="186"/>
      <c r="C272" s="186"/>
      <c r="D272" s="186"/>
      <c r="E272" s="186"/>
      <c r="F272" s="186"/>
      <c r="G272" s="186"/>
      <c r="H272" s="186"/>
      <c r="I272" s="186"/>
    </row>
    <row r="273" spans="1:9" ht="20.100000000000001" customHeight="1">
      <c r="A273" s="186"/>
      <c r="B273" s="186"/>
      <c r="C273" s="186"/>
      <c r="D273" s="186"/>
      <c r="E273" s="186"/>
      <c r="F273" s="186"/>
      <c r="G273" s="186"/>
      <c r="H273" s="186"/>
      <c r="I273" s="186"/>
    </row>
    <row r="274" spans="1:9" ht="20.100000000000001" customHeight="1">
      <c r="A274" s="186"/>
      <c r="B274" s="186"/>
      <c r="C274" s="186"/>
      <c r="D274" s="186"/>
      <c r="E274" s="186"/>
      <c r="F274" s="186"/>
      <c r="G274" s="186"/>
      <c r="H274" s="186"/>
      <c r="I274" s="186"/>
    </row>
    <row r="275" spans="1:9" ht="20.100000000000001" customHeight="1">
      <c r="A275" s="186"/>
      <c r="B275" s="186"/>
      <c r="C275" s="186"/>
      <c r="D275" s="186"/>
      <c r="E275" s="186"/>
      <c r="F275" s="186"/>
      <c r="G275" s="186"/>
      <c r="H275" s="186"/>
      <c r="I275" s="186"/>
    </row>
    <row r="276" spans="1:9" ht="20.100000000000001" customHeight="1">
      <c r="A276" s="186"/>
      <c r="B276" s="186"/>
      <c r="C276" s="186"/>
      <c r="D276" s="186"/>
      <c r="E276" s="186"/>
      <c r="F276" s="186"/>
      <c r="G276" s="186"/>
      <c r="H276" s="186"/>
      <c r="I276" s="186"/>
    </row>
    <row r="277" spans="1:9" ht="20.100000000000001" customHeight="1">
      <c r="A277" s="186"/>
      <c r="B277" s="186"/>
      <c r="C277" s="186"/>
      <c r="D277" s="186"/>
      <c r="E277" s="186"/>
      <c r="F277" s="186"/>
      <c r="G277" s="186"/>
      <c r="H277" s="186"/>
      <c r="I277" s="186"/>
    </row>
    <row r="278" spans="1:9" ht="20.100000000000001" customHeight="1"/>
    <row r="279" spans="1:9" ht="20.100000000000001" customHeight="1"/>
    <row r="280" spans="1:9" ht="20.100000000000001" customHeight="1"/>
    <row r="281" spans="1:9" ht="20.100000000000001" customHeight="1"/>
    <row r="282" spans="1:9" ht="20.100000000000001" customHeight="1"/>
    <row r="283" spans="1:9" ht="20.100000000000001" customHeight="1"/>
    <row r="284" spans="1:9" ht="20.100000000000001" customHeight="1"/>
    <row r="285" spans="1:9" ht="20.100000000000001" customHeight="1"/>
    <row r="286" spans="1:9" ht="20.100000000000001" customHeight="1"/>
    <row r="287" spans="1:9" ht="20.100000000000001" customHeight="1"/>
    <row r="288" spans="1:9"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sheetData>
  <sheetProtection sheet="1" objects="1" scenarios="1"/>
  <mergeCells count="2">
    <mergeCell ref="B2:C2"/>
    <mergeCell ref="V47:W47"/>
  </mergeCells>
  <conditionalFormatting sqref="C201:I201 C130:I130 C133:I133 C167:I168">
    <cfRule type="cellIs" dxfId="0" priority="1" stopIfTrue="1" operator="equal">
      <formula>0</formula>
    </cfRule>
  </conditionalFormatting>
  <dataValidations count="13">
    <dataValidation type="list" allowBlank="1" showInputMessage="1" showErrorMessage="1" sqref="A178">
      <formula1>"Leistungen der Ausbildungsförderung (bitte auswählen), BAföG, Berufsausbildungsbeihilfe, Ausbildungsgeld, Unterhaltsbeitrag nach AFBG"</formula1>
    </dataValidation>
    <dataValidation type="custom" allowBlank="1" showInputMessage="1" showErrorMessage="1" error="Person nicht erwerbsfähig oder Altersrente; Fahrtkosten nur in nachgewiesener Höhe!" sqref="C122:I123">
      <formula1>IF(C34="nein",FALSE,TRUE)</formula1>
    </dataValidation>
    <dataValidation allowBlank="1" showInputMessage="1" showErrorMessage="1" promptTitle="bitte beachten:" prompt="hier die Zahl der Personen eintragen, die im gemeinsamen Haushalt leben, aber nicht zur Bedarfsgemeinschaft rechnen, z.B. Großeltern, Onkel" sqref="B5"/>
    <dataValidation type="list" allowBlank="1" showInputMessage="1" showErrorMessage="1" sqref="D4">
      <formula1>"Partner(in), Elternteil"</formula1>
    </dataValidation>
    <dataValidation type="list" allowBlank="1" showInputMessage="1" showErrorMessage="1" sqref="C4">
      <formula1>"Antragsteller, Elternteil"</formula1>
    </dataValidation>
    <dataValidation type="list" allowBlank="1" showInputMessage="1" showErrorMessage="1" sqref="E4">
      <formula1>"Kind 1, Kind Antragst."</formula1>
    </dataValidation>
    <dataValidation type="list" allowBlank="1" showInputMessage="1" showErrorMessage="1" sqref="B109">
      <formula1>"ja"</formula1>
    </dataValidation>
    <dataValidation allowBlank="1" showInputMessage="1" showErrorMessage="1" prompt="bitte die Kosten für&#10;die Haushalts-&#10;gemeinschaft&#10;eintragen" sqref="B102"/>
    <dataValidation type="list" allowBlank="1" showInputMessage="1" showErrorMessage="1" sqref="A142">
      <formula1>"Fahrkarte ÖPNV, tatsächliche Fahrtkosten"</formula1>
    </dataValidation>
    <dataValidation type="list" allowBlank="1" showInputMessage="1" showErrorMessage="1" sqref="A139">
      <formula1>"Kurzarbeitergeld, Insolvenzgeld, Zuschuss zum Mutterschaftsgeld, Gewinn aus selbständiger Tätigkeit"</formula1>
    </dataValidation>
    <dataValidation type="list" allowBlank="1" showInputMessage="1" showErrorMessage="1" sqref="B96:B97">
      <formula1>"ja,nein"</formula1>
    </dataValidation>
    <dataValidation type="decimal" errorStyle="information" operator="lessThan" allowBlank="1" showInputMessage="1" showErrorMessage="1" errorTitle="Anspruch" error="anspruchsberechtigt?" sqref="C178:F180">
      <formula1>0.01</formula1>
    </dataValidation>
    <dataValidation type="list" allowBlank="1" showInputMessage="1" showErrorMessage="1" sqref="E207:I207">
      <formula1>"1,2,3,4,5,6,7,8,9"</formula1>
    </dataValidation>
  </dataValidations>
  <hyperlinks>
    <hyperlink ref="B93" location="Bedarfssätze!A60" display="Liste Ernährung"/>
  </hyperlinks>
  <pageMargins left="0.7" right="0.7" top="0.78740157499999996" bottom="0.78740157499999996" header="0.3" footer="0.3"/>
  <legacyDrawing r:id="rId1"/>
</worksheet>
</file>

<file path=xl/worksheets/sheet2.xml><?xml version="1.0" encoding="utf-8"?>
<worksheet xmlns="http://schemas.openxmlformats.org/spreadsheetml/2006/main" xmlns:r="http://schemas.openxmlformats.org/officeDocument/2006/relationships">
  <dimension ref="A1:N175"/>
  <sheetViews>
    <sheetView topLeftCell="A2" workbookViewId="0">
      <selection activeCell="D65" sqref="D65"/>
    </sheetView>
  </sheetViews>
  <sheetFormatPr baseColWidth="10" defaultRowHeight="12.75"/>
  <cols>
    <col min="1" max="1" width="43.28515625" customWidth="1"/>
    <col min="2" max="2" width="14" customWidth="1"/>
    <col min="4" max="10" width="10.42578125" customWidth="1"/>
    <col min="11" max="11" width="15.28515625" bestFit="1" customWidth="1"/>
  </cols>
  <sheetData>
    <row r="1" spans="1:14" ht="132.75" customHeight="1" thickTop="1" thickBot="1">
      <c r="A1" s="2001" t="s">
        <v>2389</v>
      </c>
      <c r="B1" s="2001"/>
      <c r="C1" s="2001"/>
      <c r="D1" s="2001"/>
      <c r="E1" s="2001"/>
      <c r="F1" s="2001"/>
      <c r="G1" s="2001"/>
      <c r="H1" s="2001"/>
      <c r="I1" s="2001"/>
      <c r="J1" s="2001"/>
      <c r="K1" s="595"/>
      <c r="L1" s="595"/>
    </row>
    <row r="2" spans="1:14" ht="24" thickTop="1">
      <c r="A2" s="2002" t="s">
        <v>2273</v>
      </c>
      <c r="B2" s="2002"/>
      <c r="C2" s="2002"/>
      <c r="D2" s="2002"/>
      <c r="E2" s="2002"/>
      <c r="F2" s="2002"/>
      <c r="G2" s="2002"/>
      <c r="H2" s="2002"/>
      <c r="I2" s="2002"/>
      <c r="J2" s="2002"/>
      <c r="K2" s="1522"/>
      <c r="L2" s="1523"/>
    </row>
    <row r="3" spans="1:14" ht="12.75" customHeight="1">
      <c r="A3" s="2003" t="s">
        <v>2274</v>
      </c>
      <c r="B3" s="2003"/>
      <c r="C3" s="2003"/>
      <c r="D3" s="2003"/>
      <c r="E3" s="2003"/>
      <c r="F3" s="2003"/>
      <c r="G3" s="2003"/>
      <c r="H3" s="2004" t="s">
        <v>2402</v>
      </c>
      <c r="I3" s="2004"/>
      <c r="J3" s="2004"/>
      <c r="K3" s="1524"/>
      <c r="L3" s="1525"/>
      <c r="N3" s="1743"/>
    </row>
    <row r="4" spans="1:14" ht="51" customHeight="1">
      <c r="A4" s="2003"/>
      <c r="B4" s="2003"/>
      <c r="C4" s="2003"/>
      <c r="D4" s="2003"/>
      <c r="E4" s="2003"/>
      <c r="F4" s="2003"/>
      <c r="G4" s="2003"/>
      <c r="H4" s="2005"/>
      <c r="I4" s="2005"/>
      <c r="J4" s="2005"/>
      <c r="K4" s="1524"/>
      <c r="L4" s="1525"/>
    </row>
    <row r="5" spans="1:14" ht="6" customHeight="1">
      <c r="A5" s="1526"/>
      <c r="B5" s="1527"/>
      <c r="C5" s="1528"/>
      <c r="D5" s="1529"/>
      <c r="E5" s="1530"/>
      <c r="F5" s="1531"/>
      <c r="G5" s="1532"/>
      <c r="H5" s="1533"/>
      <c r="I5" s="1534"/>
      <c r="J5" s="1534"/>
      <c r="K5" s="1534"/>
      <c r="L5" s="1532"/>
    </row>
    <row r="6" spans="1:14" hidden="1">
      <c r="A6" s="1535"/>
      <c r="B6" s="1527"/>
      <c r="C6" s="1528"/>
      <c r="D6" s="1529"/>
      <c r="E6" s="1536"/>
      <c r="F6" s="1537"/>
      <c r="G6" s="1532"/>
      <c r="H6" s="2000" t="s">
        <v>2275</v>
      </c>
      <c r="I6" s="2000"/>
      <c r="J6" s="2000"/>
      <c r="K6" s="2000"/>
      <c r="L6" s="2000"/>
    </row>
    <row r="7" spans="1:14" hidden="1">
      <c r="A7" s="1535"/>
      <c r="B7" s="1527"/>
      <c r="C7" s="1528"/>
      <c r="D7" s="1529"/>
      <c r="E7" s="1536"/>
      <c r="F7" s="1538"/>
      <c r="G7" s="1539"/>
      <c r="H7" s="2000" t="s">
        <v>2276</v>
      </c>
      <c r="I7" s="2000"/>
      <c r="J7" s="2000"/>
      <c r="K7" s="2000"/>
      <c r="L7" s="2000"/>
    </row>
    <row r="8" spans="1:14" hidden="1">
      <c r="A8" s="1540"/>
      <c r="B8" s="1527"/>
      <c r="C8" s="1528"/>
      <c r="D8" s="1529"/>
      <c r="E8" s="1536"/>
      <c r="F8" s="1538"/>
      <c r="G8" s="1539"/>
      <c r="H8" s="2000" t="s">
        <v>2277</v>
      </c>
      <c r="I8" s="2000"/>
      <c r="J8" s="2000"/>
      <c r="K8" s="2000"/>
      <c r="L8" s="2000"/>
    </row>
    <row r="9" spans="1:14" ht="1.5" customHeight="1">
      <c r="A9" s="1541"/>
      <c r="B9" s="1542"/>
      <c r="C9" s="1543"/>
      <c r="D9" s="1537"/>
      <c r="E9" s="1537"/>
      <c r="F9" s="1538"/>
      <c r="G9" s="1539"/>
      <c r="H9" s="2000" t="s">
        <v>2278</v>
      </c>
      <c r="I9" s="2000"/>
      <c r="J9" s="2000"/>
      <c r="K9" s="2000"/>
      <c r="L9" s="2000"/>
    </row>
    <row r="10" spans="1:14" ht="18" customHeight="1">
      <c r="A10" s="1979" t="s">
        <v>2280</v>
      </c>
      <c r="B10" s="1980"/>
      <c r="C10" s="1981"/>
      <c r="D10" s="1967"/>
      <c r="E10" s="2006" t="s">
        <v>2397</v>
      </c>
      <c r="F10" s="2007"/>
      <c r="G10" s="2007"/>
      <c r="H10" s="1970"/>
      <c r="I10" s="1971"/>
      <c r="J10" s="1972"/>
      <c r="K10" s="1544"/>
      <c r="L10" s="1545"/>
    </row>
    <row r="11" spans="1:14" ht="18">
      <c r="A11" s="1982"/>
      <c r="B11" s="1983"/>
      <c r="C11" s="1984"/>
      <c r="D11" s="1968"/>
      <c r="E11" s="2008"/>
      <c r="F11" s="2009"/>
      <c r="G11" s="2009"/>
      <c r="H11" s="1973"/>
      <c r="I11" s="1974"/>
      <c r="J11" s="1975"/>
      <c r="K11" s="1544"/>
      <c r="L11" s="1545"/>
    </row>
    <row r="12" spans="1:14" ht="12.6" customHeight="1">
      <c r="A12" s="1982"/>
      <c r="B12" s="1983"/>
      <c r="C12" s="1984"/>
      <c r="D12" s="1968"/>
      <c r="E12" s="2008"/>
      <c r="F12" s="2009"/>
      <c r="G12" s="2009"/>
      <c r="H12" s="1976"/>
      <c r="I12" s="1977"/>
      <c r="J12" s="1978"/>
      <c r="K12" s="1544"/>
      <c r="L12" s="1545"/>
    </row>
    <row r="13" spans="1:14" ht="41.25" customHeight="1">
      <c r="A13" s="1985"/>
      <c r="B13" s="1986"/>
      <c r="C13" s="1987"/>
      <c r="D13" s="1969"/>
      <c r="E13" s="2010"/>
      <c r="F13" s="2011"/>
      <c r="G13" s="2011"/>
      <c r="H13" s="1965">
        <v>43344</v>
      </c>
      <c r="I13" s="1966"/>
      <c r="J13" s="1966"/>
      <c r="K13" s="1853"/>
      <c r="L13" s="1545"/>
    </row>
    <row r="14" spans="1:14">
      <c r="A14" s="1547"/>
      <c r="B14" s="1547"/>
      <c r="C14" s="1548"/>
      <c r="D14" s="1537"/>
      <c r="E14" s="1537"/>
      <c r="F14" s="1830"/>
      <c r="G14" s="1533"/>
      <c r="H14" s="1549"/>
      <c r="I14" s="1549"/>
      <c r="J14" s="1550"/>
      <c r="K14" s="1551"/>
      <c r="L14" s="1533"/>
    </row>
    <row r="15" spans="1:14" ht="12.6" customHeight="1">
      <c r="A15" s="2012" t="str">
        <f>IF(C$16&lt;M$23,"Zahl der Personen in Zelle C10 falsch!","")</f>
        <v/>
      </c>
      <c r="B15" s="2012"/>
      <c r="C15" s="2012"/>
      <c r="D15" s="2012"/>
      <c r="E15" s="2012"/>
      <c r="F15" s="1964"/>
      <c r="G15" s="1964"/>
      <c r="H15" s="1964"/>
      <c r="I15" s="1964"/>
      <c r="J15" s="1964"/>
      <c r="K15" s="2013"/>
      <c r="L15" s="2013"/>
    </row>
    <row r="16" spans="1:14" ht="20.25">
      <c r="A16" s="1988" t="s">
        <v>2279</v>
      </c>
      <c r="B16" s="1988"/>
      <c r="C16" s="1831">
        <f>Zusatzeingaben!B6</f>
        <v>1</v>
      </c>
      <c r="D16" s="1832" t="s">
        <v>325</v>
      </c>
      <c r="E16" s="1833"/>
      <c r="F16" s="1992" t="s">
        <v>2393</v>
      </c>
      <c r="G16" s="1993"/>
      <c r="H16" s="1994">
        <f>H13</f>
        <v>43344</v>
      </c>
      <c r="I16" s="1995"/>
      <c r="J16" s="1829"/>
      <c r="K16" s="1824"/>
      <c r="L16" s="1543"/>
    </row>
    <row r="17" spans="1:12" ht="20.25">
      <c r="A17" s="1989" t="s">
        <v>2398</v>
      </c>
      <c r="B17" s="1990"/>
      <c r="C17" s="1991"/>
      <c r="D17" s="1964" t="s">
        <v>325</v>
      </c>
      <c r="E17" s="1828"/>
      <c r="F17" s="1829"/>
      <c r="G17" s="1829"/>
      <c r="H17" s="1829"/>
      <c r="I17" s="1829"/>
      <c r="J17" s="1829"/>
      <c r="K17" s="1824"/>
      <c r="L17" s="1543"/>
    </row>
    <row r="18" spans="1:12" ht="11.45" customHeight="1">
      <c r="A18" s="1990"/>
      <c r="B18" s="1990"/>
      <c r="C18" s="1991"/>
      <c r="D18" s="1964"/>
      <c r="E18" s="1828"/>
      <c r="F18" s="1829"/>
      <c r="G18" s="1829"/>
      <c r="H18" s="1829"/>
      <c r="I18" s="1829"/>
      <c r="J18" s="1829"/>
      <c r="K18" s="1824"/>
      <c r="L18" s="1543"/>
    </row>
    <row r="19" spans="1:12" ht="20.25">
      <c r="A19" s="2014"/>
      <c r="B19" s="2014"/>
      <c r="C19" s="2014"/>
      <c r="D19" s="2015"/>
      <c r="E19" s="2015"/>
      <c r="F19" s="2016" t="s">
        <v>2282</v>
      </c>
      <c r="G19" s="2016"/>
      <c r="H19" s="2016"/>
      <c r="I19" s="2016"/>
      <c r="J19" s="2016"/>
      <c r="K19" s="1552"/>
      <c r="L19" s="1553"/>
    </row>
    <row r="20" spans="1:12" ht="15.75">
      <c r="A20" s="1690" t="s">
        <v>2283</v>
      </c>
      <c r="B20" s="1690"/>
      <c r="C20" s="1691"/>
      <c r="D20" s="1846"/>
      <c r="E20" s="1846"/>
      <c r="F20" s="1846"/>
      <c r="G20" s="1846"/>
      <c r="H20" s="1905"/>
      <c r="I20" s="1905"/>
      <c r="J20" s="1692"/>
      <c r="K20" s="1555"/>
      <c r="L20" s="1556"/>
    </row>
    <row r="21" spans="1:12" ht="14.25">
      <c r="A21" s="1690" t="s">
        <v>2284</v>
      </c>
      <c r="B21" s="2021"/>
      <c r="C21" s="2021"/>
      <c r="D21" s="1557">
        <f ca="1">IF(D20="",0,DATEDIF(D20,TODAY(),"Y"))</f>
        <v>0</v>
      </c>
      <c r="E21" s="1557">
        <f ca="1">IF(E20="",0,DATEDIF(E20,TODAY(),"Y"))</f>
        <v>0</v>
      </c>
      <c r="F21" s="1557" t="str">
        <f t="shared" ref="F21:J21" ca="1" si="0">IF(F20="","",DATEDIF(F20,TODAY(),"Y"))</f>
        <v/>
      </c>
      <c r="G21" s="1557" t="str">
        <f t="shared" ca="1" si="0"/>
        <v/>
      </c>
      <c r="H21" s="1557" t="str">
        <f t="shared" ca="1" si="0"/>
        <v/>
      </c>
      <c r="I21" s="1557" t="str">
        <f t="shared" ca="1" si="0"/>
        <v/>
      </c>
      <c r="J21" s="1558" t="str">
        <f t="shared" ca="1" si="0"/>
        <v/>
      </c>
      <c r="K21" s="1559"/>
      <c r="L21" s="1560"/>
    </row>
    <row r="22" spans="1:12">
      <c r="A22" s="1690" t="s">
        <v>185</v>
      </c>
      <c r="B22" s="1690"/>
      <c r="C22" s="1693"/>
      <c r="D22" s="1561" t="str">
        <f>Zusatzeingaben!C34</f>
        <v>ja</v>
      </c>
      <c r="E22" s="1561" t="str">
        <f>Zusatzeingaben!D34</f>
        <v>ja</v>
      </c>
      <c r="F22" s="1561" t="str">
        <f>Zusatzeingaben!E34</f>
        <v>ja</v>
      </c>
      <c r="G22" s="1561" t="str">
        <f>Zusatzeingaben!F34</f>
        <v>ja</v>
      </c>
      <c r="H22" s="1561" t="str">
        <f>Zusatzeingaben!G34</f>
        <v>ja</v>
      </c>
      <c r="I22" s="1561" t="str">
        <f>Zusatzeingaben!H34</f>
        <v>ja</v>
      </c>
      <c r="J22" s="1694" t="str">
        <f>Zusatzeingaben!I34</f>
        <v>ja</v>
      </c>
      <c r="K22" s="1562"/>
      <c r="L22" s="1563"/>
    </row>
    <row r="23" spans="1:12">
      <c r="A23" s="1690" t="s">
        <v>2285</v>
      </c>
      <c r="B23" s="1690"/>
      <c r="C23" s="1695">
        <f>SUM(D23:L23)</f>
        <v>416</v>
      </c>
      <c r="D23" s="1696">
        <f>Berechnung!C11</f>
        <v>416</v>
      </c>
      <c r="E23" s="1696">
        <f>Berechnung!D11</f>
        <v>0</v>
      </c>
      <c r="F23" s="1696">
        <f>Berechnung!E11</f>
        <v>0</v>
      </c>
      <c r="G23" s="1696">
        <f>Berechnung!F11</f>
        <v>0</v>
      </c>
      <c r="H23" s="1696">
        <f>Berechnung!G11</f>
        <v>0</v>
      </c>
      <c r="I23" s="1696">
        <f>Berechnung!H11</f>
        <v>0</v>
      </c>
      <c r="J23" s="1696">
        <f>Berechnung!I11</f>
        <v>0</v>
      </c>
      <c r="K23" s="1566"/>
      <c r="L23" s="1567"/>
    </row>
    <row r="24" spans="1:12">
      <c r="A24" s="1697"/>
      <c r="B24" s="1691"/>
      <c r="C24" s="1698"/>
      <c r="D24" s="1691"/>
      <c r="E24" s="1569"/>
      <c r="F24" s="1569"/>
      <c r="G24" s="1569"/>
      <c r="H24" s="1569"/>
      <c r="I24" s="1569"/>
      <c r="J24" s="1699"/>
      <c r="K24" s="1570"/>
      <c r="L24" s="1571"/>
    </row>
    <row r="25" spans="1:12">
      <c r="A25" s="1700" t="s">
        <v>2286</v>
      </c>
      <c r="B25" s="1691"/>
      <c r="C25" s="1843">
        <v>2</v>
      </c>
      <c r="D25" s="1689" t="s">
        <v>2281</v>
      </c>
      <c r="E25" s="1689" t="s">
        <v>2281</v>
      </c>
      <c r="F25" s="1844" t="s">
        <v>99</v>
      </c>
      <c r="G25" s="1844" t="s">
        <v>99</v>
      </c>
      <c r="H25" s="1844" t="s">
        <v>99</v>
      </c>
      <c r="I25" s="1844" t="s">
        <v>99</v>
      </c>
      <c r="J25" s="1845" t="s">
        <v>99</v>
      </c>
      <c r="K25" s="1570"/>
      <c r="L25" s="1571"/>
    </row>
    <row r="26" spans="1:12">
      <c r="A26" s="1691" t="s">
        <v>2287</v>
      </c>
      <c r="B26" s="1702" t="s">
        <v>2401</v>
      </c>
      <c r="C26" s="1703">
        <f>SUM(D26:L26)</f>
        <v>0</v>
      </c>
      <c r="D26" s="1574">
        <f>Berechnung!C14</f>
        <v>0</v>
      </c>
      <c r="E26" s="1575"/>
      <c r="F26" s="1576"/>
      <c r="G26" s="1576"/>
      <c r="H26" s="1576"/>
      <c r="I26" s="1576"/>
      <c r="J26" s="1704"/>
      <c r="K26" s="1577"/>
      <c r="L26" s="1578"/>
    </row>
    <row r="27" spans="1:12" hidden="1">
      <c r="A27" s="1705" t="s">
        <v>2288</v>
      </c>
      <c r="B27" s="1705"/>
      <c r="C27" s="1706"/>
      <c r="D27" s="1707" t="str">
        <f t="shared" ref="D27:J27" si="1">IF(($C$54="Ja"),"Ja","")</f>
        <v/>
      </c>
      <c r="E27" s="1707" t="str">
        <f t="shared" si="1"/>
        <v/>
      </c>
      <c r="F27" s="1707" t="str">
        <f t="shared" si="1"/>
        <v/>
      </c>
      <c r="G27" s="1707" t="str">
        <f t="shared" si="1"/>
        <v/>
      </c>
      <c r="H27" s="1707" t="str">
        <f t="shared" si="1"/>
        <v/>
      </c>
      <c r="I27" s="1707" t="str">
        <f t="shared" si="1"/>
        <v/>
      </c>
      <c r="J27" s="1707" t="str">
        <f t="shared" si="1"/>
        <v/>
      </c>
      <c r="K27" s="1579"/>
      <c r="L27" s="1580"/>
    </row>
    <row r="28" spans="1:12" hidden="1">
      <c r="A28" s="1705" t="s">
        <v>2289</v>
      </c>
      <c r="B28" s="1705"/>
      <c r="C28" s="1708">
        <f>SUM(D28:L28)</f>
        <v>0</v>
      </c>
      <c r="D28" s="1709">
        <f t="shared" ref="D28:J28" si="2">IF(OR(D$20="",$C$54="Nein"),0,VLOOKUP(D$20,Bedarfsstufen,3,1))</f>
        <v>0</v>
      </c>
      <c r="E28" s="1709">
        <f t="shared" si="2"/>
        <v>0</v>
      </c>
      <c r="F28" s="1709">
        <f t="shared" si="2"/>
        <v>0</v>
      </c>
      <c r="G28" s="1709">
        <f t="shared" si="2"/>
        <v>0</v>
      </c>
      <c r="H28" s="1709">
        <f t="shared" si="2"/>
        <v>0</v>
      </c>
      <c r="I28" s="1709">
        <f t="shared" si="2"/>
        <v>0</v>
      </c>
      <c r="J28" s="1709">
        <f t="shared" si="2"/>
        <v>0</v>
      </c>
      <c r="K28" s="1582"/>
      <c r="L28" s="1583"/>
    </row>
    <row r="29" spans="1:12" hidden="1">
      <c r="A29" s="1705" t="s">
        <v>2290</v>
      </c>
      <c r="B29" s="1705"/>
      <c r="C29" s="1708">
        <f>C55</f>
        <v>0</v>
      </c>
      <c r="D29" s="1709">
        <f t="shared" ref="D29:J29" si="3">$C$55/$C$16</f>
        <v>0</v>
      </c>
      <c r="E29" s="1709">
        <f t="shared" si="3"/>
        <v>0</v>
      </c>
      <c r="F29" s="1709">
        <f t="shared" si="3"/>
        <v>0</v>
      </c>
      <c r="G29" s="1709">
        <f t="shared" si="3"/>
        <v>0</v>
      </c>
      <c r="H29" s="1709">
        <f t="shared" si="3"/>
        <v>0</v>
      </c>
      <c r="I29" s="1709">
        <f t="shared" si="3"/>
        <v>0</v>
      </c>
      <c r="J29" s="1709">
        <f t="shared" si="3"/>
        <v>0</v>
      </c>
      <c r="K29" s="1582"/>
      <c r="L29" s="1583"/>
    </row>
    <row r="30" spans="1:12">
      <c r="A30" s="1691" t="s">
        <v>2291</v>
      </c>
      <c r="B30" s="1691"/>
      <c r="C30" s="1703">
        <f>SUM(D30:L30)</f>
        <v>0</v>
      </c>
      <c r="D30" s="1710">
        <f>Berechnung!C18</f>
        <v>0</v>
      </c>
      <c r="E30" s="1710">
        <f>Berechnung!D18</f>
        <v>0</v>
      </c>
      <c r="F30" s="1710">
        <f>Berechnung!E18</f>
        <v>0</v>
      </c>
      <c r="G30" s="1710">
        <f>Berechnung!F18</f>
        <v>0</v>
      </c>
      <c r="H30" s="1710">
        <f>Berechnung!G18</f>
        <v>0</v>
      </c>
      <c r="I30" s="1710">
        <f>Berechnung!H18</f>
        <v>0</v>
      </c>
      <c r="J30" s="1710">
        <f>Berechnung!I18</f>
        <v>0</v>
      </c>
      <c r="K30" s="1582"/>
      <c r="L30" s="1583"/>
    </row>
    <row r="31" spans="1:12">
      <c r="A31" s="1691" t="s">
        <v>2292</v>
      </c>
      <c r="B31" s="1738" t="s">
        <v>2365</v>
      </c>
      <c r="C31" s="1703"/>
      <c r="D31" s="1711"/>
      <c r="E31" s="1711"/>
      <c r="F31" s="1711"/>
      <c r="G31" s="1711"/>
      <c r="H31" s="1711"/>
      <c r="I31" s="1711"/>
      <c r="J31" s="1711"/>
      <c r="K31" s="1584"/>
      <c r="L31" s="1585"/>
    </row>
    <row r="32" spans="1:12">
      <c r="A32" s="1691" t="s">
        <v>2293</v>
      </c>
      <c r="B32" s="1691"/>
      <c r="C32" s="1703">
        <f>SUM(D32:L32)</f>
        <v>0</v>
      </c>
      <c r="D32" s="1710">
        <f>IF((D31="Stufe 1"),D$23*0.1,IF((D31="Stufe 2"),D$23*0.2,0))</f>
        <v>0</v>
      </c>
      <c r="E32" s="1710">
        <f t="shared" ref="E32:J32" si="4">IF((E31="Stufe 1"),E$23*0.1,IF((E31="Stufe 2"),E$23*0.2,0))</f>
        <v>0</v>
      </c>
      <c r="F32" s="1710">
        <f t="shared" si="4"/>
        <v>0</v>
      </c>
      <c r="G32" s="1710">
        <f t="shared" si="4"/>
        <v>0</v>
      </c>
      <c r="H32" s="1710">
        <f t="shared" si="4"/>
        <v>0</v>
      </c>
      <c r="I32" s="1710">
        <f t="shared" si="4"/>
        <v>0</v>
      </c>
      <c r="J32" s="1710">
        <f t="shared" si="4"/>
        <v>0</v>
      </c>
      <c r="K32" s="1582"/>
      <c r="L32" s="1583"/>
    </row>
    <row r="33" spans="1:12">
      <c r="A33" s="1691" t="s">
        <v>2294</v>
      </c>
      <c r="B33" s="1691"/>
      <c r="C33" s="1703"/>
      <c r="D33" s="1906"/>
      <c r="E33" s="1712"/>
      <c r="F33" s="1712"/>
      <c r="G33" s="1712"/>
      <c r="H33" s="1712"/>
      <c r="I33" s="1712"/>
      <c r="J33" s="1712"/>
      <c r="K33" s="1586"/>
      <c r="L33" s="1587"/>
    </row>
    <row r="34" spans="1:12">
      <c r="A34" s="1691" t="s">
        <v>2295</v>
      </c>
      <c r="B34" s="1691"/>
      <c r="C34" s="1703">
        <f>SUM(D34:L34)</f>
        <v>0</v>
      </c>
      <c r="D34" s="1713">
        <f>Berechnung!C13</f>
        <v>0</v>
      </c>
      <c r="E34" s="1713">
        <f>Berechnung!D13</f>
        <v>0</v>
      </c>
      <c r="F34" s="1713">
        <f>Berechnung!E13</f>
        <v>0</v>
      </c>
      <c r="G34" s="1713">
        <f>Berechnung!F13</f>
        <v>0</v>
      </c>
      <c r="H34" s="1713">
        <f>Berechnung!G13</f>
        <v>0</v>
      </c>
      <c r="I34" s="1713">
        <f>Berechnung!H13</f>
        <v>0</v>
      </c>
      <c r="J34" s="1713">
        <f>Berechnung!I13</f>
        <v>0</v>
      </c>
      <c r="K34" s="1582"/>
      <c r="L34" s="1583"/>
    </row>
    <row r="35" spans="1:12">
      <c r="A35" s="1690" t="s">
        <v>2296</v>
      </c>
      <c r="B35" s="1691"/>
      <c r="C35" s="1703"/>
      <c r="D35" s="1701"/>
      <c r="E35" s="1701"/>
      <c r="F35" s="1701"/>
      <c r="G35" s="1701"/>
      <c r="H35" s="1701"/>
      <c r="I35" s="1701"/>
      <c r="J35" s="1701"/>
      <c r="K35" s="1582"/>
      <c r="L35" s="1583"/>
    </row>
    <row r="36" spans="1:12">
      <c r="A36" s="1691" t="s">
        <v>2297</v>
      </c>
      <c r="B36" s="1691"/>
      <c r="C36" s="1703">
        <f>SUM(D36:J36)</f>
        <v>0</v>
      </c>
      <c r="D36" s="1713">
        <f>Berechnung!C19</f>
        <v>0</v>
      </c>
      <c r="E36" s="1713">
        <f>Berechnung!D19</f>
        <v>0</v>
      </c>
      <c r="F36" s="1713">
        <f>Berechnung!E19</f>
        <v>0</v>
      </c>
      <c r="G36" s="1713">
        <f>Berechnung!F19</f>
        <v>0</v>
      </c>
      <c r="H36" s="1713">
        <f>Berechnung!G19</f>
        <v>0</v>
      </c>
      <c r="I36" s="1713">
        <f>Berechnung!H19</f>
        <v>0</v>
      </c>
      <c r="J36" s="1713">
        <f>Berechnung!I19</f>
        <v>0</v>
      </c>
      <c r="K36" s="1582"/>
      <c r="L36" s="1583"/>
    </row>
    <row r="37" spans="1:12">
      <c r="A37" s="1691" t="s">
        <v>2298</v>
      </c>
      <c r="B37" s="1691"/>
      <c r="C37" s="1703"/>
      <c r="D37" s="1701"/>
      <c r="E37" s="1701"/>
      <c r="F37" s="1701"/>
      <c r="G37" s="1701"/>
      <c r="H37" s="1701"/>
      <c r="I37" s="1701"/>
      <c r="J37" s="1701"/>
      <c r="K37" s="1588"/>
      <c r="L37" s="1589"/>
    </row>
    <row r="38" spans="1:12">
      <c r="A38" s="1691" t="s">
        <v>2299</v>
      </c>
      <c r="B38" s="1691"/>
      <c r="C38" s="1703">
        <f>SUM(D38:L38)</f>
        <v>0</v>
      </c>
      <c r="D38" s="1713">
        <f>Berechnung!C15</f>
        <v>0</v>
      </c>
      <c r="E38" s="1713">
        <f>Berechnung!D15</f>
        <v>0</v>
      </c>
      <c r="F38" s="1713">
        <f>Berechnung!E15</f>
        <v>0</v>
      </c>
      <c r="G38" s="1713">
        <f>Berechnung!F15</f>
        <v>0</v>
      </c>
      <c r="H38" s="1713">
        <f>Berechnung!G15</f>
        <v>0</v>
      </c>
      <c r="I38" s="1713">
        <f>Berechnung!H15</f>
        <v>0</v>
      </c>
      <c r="J38" s="1713">
        <f>Berechnung!I15</f>
        <v>0</v>
      </c>
      <c r="K38" s="1582"/>
      <c r="L38" s="1583"/>
    </row>
    <row r="39" spans="1:12" ht="6" customHeight="1">
      <c r="A39" s="1740"/>
      <c r="B39" s="1740"/>
      <c r="C39" s="1741"/>
      <c r="D39" s="1742"/>
      <c r="E39" s="1742"/>
      <c r="F39" s="1742"/>
      <c r="G39" s="1742"/>
      <c r="H39" s="1742"/>
      <c r="I39" s="1742"/>
      <c r="J39" s="1742"/>
      <c r="K39" s="1582"/>
      <c r="L39" s="1583"/>
    </row>
    <row r="40" spans="1:12">
      <c r="A40" s="1690" t="s">
        <v>2300</v>
      </c>
      <c r="B40" s="1690"/>
      <c r="C40" s="1703">
        <f>SUM(D40:L40)</f>
        <v>0</v>
      </c>
      <c r="D40" s="1714">
        <f t="shared" ref="D40:J40" si="5">SUM(D26,D32,D34,D38)</f>
        <v>0</v>
      </c>
      <c r="E40" s="1714">
        <f t="shared" si="5"/>
        <v>0</v>
      </c>
      <c r="F40" s="1714">
        <f t="shared" si="5"/>
        <v>0</v>
      </c>
      <c r="G40" s="1714">
        <f t="shared" si="5"/>
        <v>0</v>
      </c>
      <c r="H40" s="1714">
        <f t="shared" si="5"/>
        <v>0</v>
      </c>
      <c r="I40" s="1714">
        <f t="shared" si="5"/>
        <v>0</v>
      </c>
      <c r="J40" s="1714">
        <f t="shared" si="5"/>
        <v>0</v>
      </c>
      <c r="K40" s="1566"/>
      <c r="L40" s="1567"/>
    </row>
    <row r="41" spans="1:12">
      <c r="A41" s="1690" t="s">
        <v>2395</v>
      </c>
      <c r="B41" s="1690"/>
      <c r="C41" s="1695">
        <f>SUM(D41:L41)</f>
        <v>416</v>
      </c>
      <c r="D41" s="1714">
        <f t="shared" ref="D41:J41" si="6">IF(D23&gt;=0,SUM(D23,D26,D30,D32,D34,D36,D38,0))</f>
        <v>416</v>
      </c>
      <c r="E41" s="1714">
        <f t="shared" si="6"/>
        <v>0</v>
      </c>
      <c r="F41" s="1714">
        <f t="shared" si="6"/>
        <v>0</v>
      </c>
      <c r="G41" s="1714">
        <f t="shared" si="6"/>
        <v>0</v>
      </c>
      <c r="H41" s="1714">
        <f t="shared" si="6"/>
        <v>0</v>
      </c>
      <c r="I41" s="1714">
        <f t="shared" si="6"/>
        <v>0</v>
      </c>
      <c r="J41" s="1714">
        <f t="shared" si="6"/>
        <v>0</v>
      </c>
      <c r="K41" s="1566"/>
      <c r="L41" s="1567"/>
    </row>
    <row r="42" spans="1:12" ht="15.75">
      <c r="A42" s="79" t="s">
        <v>2261</v>
      </c>
      <c r="B42" s="1591"/>
      <c r="C42" s="1695">
        <f>SUM(D42:L42)</f>
        <v>0</v>
      </c>
      <c r="D42" s="1701"/>
      <c r="E42" s="1701"/>
      <c r="F42" s="1701"/>
      <c r="G42" s="1701"/>
      <c r="H42" s="1701"/>
      <c r="I42" s="1701"/>
      <c r="J42" s="1701"/>
      <c r="K42" s="1592"/>
      <c r="L42" s="1593"/>
    </row>
    <row r="43" spans="1:12" ht="16.5">
      <c r="A43" s="1690" t="s">
        <v>2301</v>
      </c>
      <c r="B43" s="2022" t="str">
        <f>IF(C16&lt;M23,"►►►►►►►","")</f>
        <v/>
      </c>
      <c r="C43" s="2022"/>
      <c r="D43" s="1594" t="str">
        <f>IF(C16&lt;M23,"Zahl der Personen in Zelle C10 falsch!","")</f>
        <v/>
      </c>
      <c r="E43" s="1595"/>
      <c r="F43" s="1595"/>
      <c r="G43" s="1595"/>
      <c r="H43" s="1595"/>
      <c r="I43" s="1595"/>
      <c r="J43" s="1596"/>
      <c r="K43" s="1597"/>
      <c r="L43" s="1598"/>
    </row>
    <row r="44" spans="1:12" hidden="1">
      <c r="A44" s="1705" t="s">
        <v>2302</v>
      </c>
      <c r="B44" s="1705"/>
      <c r="C44" s="1705"/>
      <c r="D44" s="1715">
        <f t="shared" ref="D44:J44" si="7">$C$48/$C$16</f>
        <v>0</v>
      </c>
      <c r="E44" s="1715">
        <f t="shared" si="7"/>
        <v>0</v>
      </c>
      <c r="F44" s="1715">
        <f t="shared" si="7"/>
        <v>0</v>
      </c>
      <c r="G44" s="1715">
        <f t="shared" si="7"/>
        <v>0</v>
      </c>
      <c r="H44" s="1715">
        <f t="shared" si="7"/>
        <v>0</v>
      </c>
      <c r="I44" s="1715">
        <f t="shared" si="7"/>
        <v>0</v>
      </c>
      <c r="J44" s="1715">
        <f t="shared" si="7"/>
        <v>0</v>
      </c>
      <c r="K44" s="1599"/>
      <c r="L44" s="1600"/>
    </row>
    <row r="45" spans="1:12" ht="15.75">
      <c r="A45" s="1755" t="s">
        <v>1931</v>
      </c>
      <c r="B45" s="2017" t="s">
        <v>398</v>
      </c>
      <c r="C45" s="2018"/>
      <c r="D45" s="1757"/>
      <c r="E45" s="1757"/>
      <c r="F45" s="1757"/>
      <c r="G45" s="1757"/>
      <c r="H45" s="1757"/>
      <c r="I45" s="1757"/>
      <c r="J45" s="1757"/>
      <c r="K45" s="1599"/>
      <c r="L45" s="1600"/>
    </row>
    <row r="46" spans="1:12" ht="15.75">
      <c r="A46" s="1755" t="s">
        <v>337</v>
      </c>
      <c r="B46" s="2017" t="s">
        <v>1563</v>
      </c>
      <c r="C46" s="2018"/>
      <c r="D46" s="2019" t="s">
        <v>2368</v>
      </c>
      <c r="E46" s="2020"/>
      <c r="F46" s="1835" t="str">
        <f>VLOOKUP(B46,Zusatzeingaben!A683:'Zusatzeingaben'!B1047,2)</f>
        <v>VI</v>
      </c>
      <c r="G46" s="1834" t="s">
        <v>2394</v>
      </c>
      <c r="H46" s="1757"/>
      <c r="I46" s="1757"/>
      <c r="J46" s="1757"/>
      <c r="K46" s="1599"/>
      <c r="L46" s="1600"/>
    </row>
    <row r="47" spans="1:12" ht="15.75">
      <c r="A47" s="1755" t="s">
        <v>309</v>
      </c>
      <c r="B47" s="1756"/>
      <c r="C47" s="1893" t="s">
        <v>321</v>
      </c>
      <c r="D47" s="1757"/>
      <c r="E47" s="1757"/>
      <c r="F47" s="1757"/>
      <c r="G47" s="1757"/>
      <c r="H47" s="1757"/>
      <c r="I47" s="1757"/>
      <c r="J47" s="1757"/>
      <c r="K47" s="1599"/>
      <c r="L47" s="1600"/>
    </row>
    <row r="48" spans="1:12">
      <c r="A48" s="1691" t="str">
        <f>IF(C47="Miete","Kaltmiete","monatliche Zinslast (keine Tilgung)")</f>
        <v>Kaltmiete</v>
      </c>
      <c r="B48" s="1691"/>
      <c r="C48" s="1841"/>
      <c r="D48" s="1713">
        <f>Berechnung!C24</f>
        <v>0</v>
      </c>
      <c r="E48" s="1713">
        <f>Berechnung!D24</f>
        <v>0</v>
      </c>
      <c r="F48" s="1713">
        <f>Berechnung!E24</f>
        <v>0</v>
      </c>
      <c r="G48" s="1713">
        <f>Berechnung!F24</f>
        <v>0</v>
      </c>
      <c r="H48" s="1713">
        <f>Berechnung!G24</f>
        <v>0</v>
      </c>
      <c r="I48" s="1713">
        <f>Berechnung!H24</f>
        <v>0</v>
      </c>
      <c r="J48" s="1713">
        <f>Berechnung!I24</f>
        <v>0</v>
      </c>
      <c r="K48" s="1582"/>
      <c r="L48" s="1583"/>
    </row>
    <row r="49" spans="1:12" ht="13.15" hidden="1" customHeight="1">
      <c r="A49" s="1705" t="s">
        <v>16</v>
      </c>
      <c r="B49" s="1705"/>
      <c r="C49" s="1907"/>
      <c r="D49" s="1716">
        <f t="shared" ref="D49:J49" si="8">$C$50/$C$16</f>
        <v>0</v>
      </c>
      <c r="E49" s="1716">
        <f t="shared" si="8"/>
        <v>0</v>
      </c>
      <c r="F49" s="1716">
        <f t="shared" si="8"/>
        <v>0</v>
      </c>
      <c r="G49" s="1716">
        <f t="shared" si="8"/>
        <v>0</v>
      </c>
      <c r="H49" s="1716">
        <f t="shared" si="8"/>
        <v>0</v>
      </c>
      <c r="I49" s="1716">
        <f t="shared" si="8"/>
        <v>0</v>
      </c>
      <c r="J49" s="1716">
        <f t="shared" si="8"/>
        <v>0</v>
      </c>
      <c r="K49" s="1601"/>
      <c r="L49" s="1602"/>
    </row>
    <row r="50" spans="1:12">
      <c r="A50" s="1691" t="str">
        <f>IF(C47="Miete","Nebenkosten","Nebenkosteneinschl.Grundsteuer")</f>
        <v>Nebenkosten</v>
      </c>
      <c r="B50" s="1691"/>
      <c r="C50" s="1841"/>
      <c r="D50" s="1713">
        <f>Berechnung!C33</f>
        <v>0</v>
      </c>
      <c r="E50" s="1713">
        <f>Berechnung!D33</f>
        <v>0</v>
      </c>
      <c r="F50" s="1713">
        <f>Berechnung!E33</f>
        <v>0</v>
      </c>
      <c r="G50" s="1713">
        <f>Berechnung!F33</f>
        <v>0</v>
      </c>
      <c r="H50" s="1713">
        <f>Berechnung!G33</f>
        <v>0</v>
      </c>
      <c r="I50" s="1713">
        <f>Berechnung!H33</f>
        <v>0</v>
      </c>
      <c r="J50" s="1713">
        <f>Berechnung!I33</f>
        <v>0</v>
      </c>
      <c r="K50" s="1582"/>
      <c r="L50" s="1583"/>
    </row>
    <row r="51" spans="1:12" ht="13.15" hidden="1" customHeight="1">
      <c r="A51" s="1705" t="s">
        <v>18</v>
      </c>
      <c r="B51" s="1705"/>
      <c r="C51" s="1907"/>
      <c r="D51" s="1716">
        <f t="shared" ref="D51:J51" si="9">$C$52/$C$16</f>
        <v>0</v>
      </c>
      <c r="E51" s="1716">
        <f t="shared" si="9"/>
        <v>0</v>
      </c>
      <c r="F51" s="1716">
        <f t="shared" si="9"/>
        <v>0</v>
      </c>
      <c r="G51" s="1716">
        <f t="shared" si="9"/>
        <v>0</v>
      </c>
      <c r="H51" s="1716">
        <f t="shared" si="9"/>
        <v>0</v>
      </c>
      <c r="I51" s="1716">
        <f t="shared" si="9"/>
        <v>0</v>
      </c>
      <c r="J51" s="1716">
        <f t="shared" si="9"/>
        <v>0</v>
      </c>
      <c r="K51" s="1601"/>
      <c r="L51" s="1602"/>
    </row>
    <row r="52" spans="1:12">
      <c r="A52" s="1691" t="s">
        <v>18</v>
      </c>
      <c r="B52" s="1691"/>
      <c r="C52" s="1841"/>
      <c r="D52" s="1713">
        <f>Berechnung!C46</f>
        <v>0</v>
      </c>
      <c r="E52" s="1713">
        <f>Berechnung!D46</f>
        <v>0</v>
      </c>
      <c r="F52" s="1713">
        <f>Berechnung!E46</f>
        <v>0</v>
      </c>
      <c r="G52" s="1713">
        <f>Berechnung!F46</f>
        <v>0</v>
      </c>
      <c r="H52" s="1713">
        <f>Berechnung!G46</f>
        <v>0</v>
      </c>
      <c r="I52" s="1713">
        <f>Berechnung!H46</f>
        <v>0</v>
      </c>
      <c r="J52" s="1713">
        <f>Berechnung!I46</f>
        <v>0</v>
      </c>
      <c r="K52" s="1582"/>
      <c r="L52" s="1583"/>
    </row>
    <row r="53" spans="1:12" hidden="1">
      <c r="A53" s="1691" t="s">
        <v>18</v>
      </c>
      <c r="B53" s="1691"/>
      <c r="C53" s="1701">
        <v>101</v>
      </c>
      <c r="D53" s="1713">
        <f>Berechnung!C47</f>
        <v>0</v>
      </c>
      <c r="E53" s="1713">
        <f>Berechnung!D47</f>
        <v>0</v>
      </c>
      <c r="F53" s="1713">
        <f>Berechnung!E47</f>
        <v>0</v>
      </c>
      <c r="G53" s="1713">
        <f>Berechnung!F47</f>
        <v>0</v>
      </c>
      <c r="H53" s="1713">
        <f>Berechnung!G47</f>
        <v>0</v>
      </c>
      <c r="I53" s="1713">
        <f>Berechnung!H47</f>
        <v>0</v>
      </c>
      <c r="J53" s="1713">
        <f>Berechnung!I47</f>
        <v>0</v>
      </c>
      <c r="K53" s="1603"/>
      <c r="L53" s="1604"/>
    </row>
    <row r="54" spans="1:12">
      <c r="A54" s="1996" t="s">
        <v>2374</v>
      </c>
      <c r="B54" s="1997"/>
      <c r="C54" s="1689" t="s">
        <v>2281</v>
      </c>
      <c r="D54" s="1546"/>
      <c r="E54" s="1742"/>
      <c r="F54" s="1742"/>
      <c r="G54" s="1742"/>
      <c r="H54" s="1742"/>
      <c r="I54" s="1742"/>
      <c r="J54" s="1742"/>
      <c r="K54" s="1603"/>
      <c r="L54" s="1604"/>
    </row>
    <row r="55" spans="1:12" ht="25.5">
      <c r="A55" s="1825" t="str">
        <f>IF(WWPauschale="JA","","Kosten für zentrale Warmwasser-Versorgung"&amp;CHAR(10)&amp;"wenn nicht oben in den Heizkosten enthalten")</f>
        <v>Kosten für zentrale Warmwasser-Versorgung
wenn nicht oben in den Heizkosten enthalten</v>
      </c>
      <c r="B55" s="1826" t="str">
        <f>IF($C$54="Nein","Betrag eingeben!","")</f>
        <v>Betrag eingeben!</v>
      </c>
      <c r="C55" s="1827"/>
      <c r="D55" s="1826" t="str">
        <f>IF($C$54="Nein","Betrag eingeben!","")</f>
        <v>Betrag eingeben!</v>
      </c>
      <c r="E55" s="1742"/>
      <c r="F55" s="1742"/>
      <c r="G55" s="1742"/>
      <c r="H55" s="1742"/>
      <c r="I55" s="1742"/>
      <c r="J55" s="1742"/>
      <c r="K55" s="1603"/>
      <c r="L55" s="1604"/>
    </row>
    <row r="56" spans="1:12">
      <c r="A56" s="1758" t="str">
        <f>IF($C47="Eigentum","Wohnfläche","")</f>
        <v/>
      </c>
      <c r="B56" s="1691"/>
      <c r="C56" s="1760"/>
      <c r="D56" s="1713">
        <f>Berechnung!C48</f>
        <v>0</v>
      </c>
      <c r="E56" s="1713">
        <f>Berechnung!D48</f>
        <v>0</v>
      </c>
      <c r="F56" s="1713">
        <f>Berechnung!E48</f>
        <v>0</v>
      </c>
      <c r="G56" s="1713">
        <f>Berechnung!F48</f>
        <v>0</v>
      </c>
      <c r="H56" s="1713">
        <f>Berechnung!G48</f>
        <v>0</v>
      </c>
      <c r="I56" s="1713">
        <f>Berechnung!H48</f>
        <v>0</v>
      </c>
      <c r="J56" s="1713">
        <f>Berechnung!I48</f>
        <v>0</v>
      </c>
      <c r="K56" s="1603"/>
      <c r="L56" s="1604"/>
    </row>
    <row r="57" spans="1:12">
      <c r="A57" s="1740" t="str">
        <f>IF(C47="Eigentum","Garage/PKW-Stellplatz vorhanden","")</f>
        <v/>
      </c>
      <c r="B57" s="1740"/>
      <c r="C57" s="1746"/>
      <c r="D57" s="1742"/>
      <c r="E57" s="1742"/>
      <c r="F57" s="1742"/>
      <c r="G57" s="1742"/>
      <c r="H57" s="1742"/>
      <c r="I57" s="1742"/>
      <c r="J57" s="1742"/>
      <c r="K57" s="1603"/>
      <c r="L57" s="1604"/>
    </row>
    <row r="58" spans="1:12" ht="8.4499999999999993" customHeight="1">
      <c r="B58" s="1761"/>
      <c r="C58" s="1762"/>
      <c r="D58" s="1742"/>
      <c r="E58" s="1742"/>
      <c r="F58" s="1742"/>
      <c r="G58" s="1742"/>
      <c r="H58" s="1742"/>
      <c r="I58" s="1742"/>
      <c r="J58" s="1742"/>
      <c r="K58" s="1603"/>
      <c r="L58" s="1604"/>
    </row>
    <row r="59" spans="1:12">
      <c r="A59" s="1690" t="s">
        <v>2303</v>
      </c>
      <c r="B59" s="1690"/>
      <c r="C59" s="1695">
        <f>SUM(C48:C52)</f>
        <v>0</v>
      </c>
      <c r="D59" s="1717"/>
      <c r="E59" s="1717"/>
      <c r="F59" s="1717"/>
      <c r="G59" s="1717"/>
      <c r="H59" s="1717"/>
      <c r="I59" s="1717"/>
      <c r="J59" s="1717"/>
      <c r="K59" s="1603"/>
      <c r="L59" s="1604"/>
    </row>
    <row r="60" spans="1:12">
      <c r="A60" s="1690" t="s">
        <v>2304</v>
      </c>
      <c r="B60" s="1690"/>
      <c r="C60" s="1695">
        <f>SUM(D60:L60)</f>
        <v>416</v>
      </c>
      <c r="D60" s="1714">
        <f>Berechnung!C50</f>
        <v>416</v>
      </c>
      <c r="E60" s="1714">
        <f>Berechnung!D50</f>
        <v>0</v>
      </c>
      <c r="F60" s="1714">
        <f>Berechnung!E50</f>
        <v>0</v>
      </c>
      <c r="G60" s="1714">
        <f>Berechnung!F50</f>
        <v>0</v>
      </c>
      <c r="H60" s="1714">
        <f>Berechnung!G50</f>
        <v>0</v>
      </c>
      <c r="I60" s="1714">
        <f>Berechnung!H50</f>
        <v>0</v>
      </c>
      <c r="J60" s="1714">
        <f>Berechnung!I50</f>
        <v>0</v>
      </c>
      <c r="K60" s="1566"/>
      <c r="L60" s="1567"/>
    </row>
    <row r="61" spans="1:12" ht="7.9" customHeight="1">
      <c r="A61" s="1606"/>
      <c r="B61" s="1606"/>
      <c r="C61" s="1606"/>
      <c r="D61" s="1606"/>
      <c r="E61" s="1606"/>
      <c r="F61" s="1606"/>
      <c r="G61" s="1606"/>
      <c r="H61" s="1606"/>
      <c r="I61" s="1606"/>
      <c r="J61" s="1607"/>
      <c r="K61" s="1608"/>
      <c r="L61" s="1526"/>
    </row>
    <row r="62" spans="1:12">
      <c r="A62" s="1690" t="s">
        <v>2305</v>
      </c>
      <c r="B62" s="1690"/>
      <c r="C62" s="1693" t="s">
        <v>372</v>
      </c>
      <c r="D62" s="1609"/>
      <c r="E62" s="1609"/>
      <c r="F62" s="1609"/>
      <c r="G62" s="1609"/>
      <c r="H62" s="1609"/>
      <c r="I62" s="1609"/>
      <c r="J62" s="1718"/>
      <c r="K62" s="1610"/>
      <c r="L62" s="1527"/>
    </row>
    <row r="63" spans="1:12">
      <c r="A63" s="1690" t="s">
        <v>2306</v>
      </c>
      <c r="B63" s="1719" t="str">
        <f>IF(AND(C64&gt;0,C63=0),"→→→→","")</f>
        <v/>
      </c>
      <c r="C63" s="1720">
        <f>SUM(D63:L63)</f>
        <v>0</v>
      </c>
      <c r="D63" s="1701"/>
      <c r="E63" s="1841"/>
      <c r="F63" s="1701"/>
      <c r="G63" s="1701"/>
      <c r="H63" s="1701"/>
      <c r="I63" s="1701"/>
      <c r="J63" s="1701"/>
      <c r="K63" s="1588"/>
      <c r="L63" s="1589"/>
    </row>
    <row r="64" spans="1:12">
      <c r="A64" s="1690" t="s">
        <v>2307</v>
      </c>
      <c r="B64" s="1719" t="str">
        <f>IF(AND(C63&gt;0,C64=0),"→→→→","")</f>
        <v/>
      </c>
      <c r="C64" s="1720">
        <f>SUM(D64:L64)</f>
        <v>0</v>
      </c>
      <c r="D64" s="1721"/>
      <c r="E64" s="1908"/>
      <c r="F64" s="1721"/>
      <c r="G64" s="1721"/>
      <c r="H64" s="1721"/>
      <c r="I64" s="1721"/>
      <c r="J64" s="1721"/>
      <c r="K64" s="1588"/>
      <c r="L64" s="1589"/>
    </row>
    <row r="65" spans="1:12">
      <c r="A65" s="1690" t="s">
        <v>2308</v>
      </c>
      <c r="B65" s="1690"/>
      <c r="C65" s="1720">
        <f>SUM(D65:L65)</f>
        <v>0</v>
      </c>
      <c r="D65" s="1701"/>
      <c r="E65" s="1841"/>
      <c r="F65" s="1701"/>
      <c r="G65" s="1701"/>
      <c r="H65" s="1701"/>
      <c r="I65" s="1701"/>
      <c r="J65" s="1701"/>
      <c r="K65" s="1588"/>
      <c r="L65" s="1589"/>
    </row>
    <row r="66" spans="1:12">
      <c r="A66" s="1722" t="str">
        <f>A20</f>
        <v>Leistungsberechtigte Geburtsdaten</v>
      </c>
      <c r="B66" s="1723"/>
      <c r="C66" s="1723"/>
      <c r="D66" s="1724" t="str">
        <f t="shared" ref="D66:J66" si="10">IF(D20="","",D20)</f>
        <v/>
      </c>
      <c r="E66" s="1724" t="str">
        <f t="shared" si="10"/>
        <v/>
      </c>
      <c r="F66" s="1724" t="str">
        <f t="shared" si="10"/>
        <v/>
      </c>
      <c r="G66" s="1724" t="str">
        <f t="shared" si="10"/>
        <v/>
      </c>
      <c r="H66" s="1724" t="str">
        <f t="shared" si="10"/>
        <v/>
      </c>
      <c r="I66" s="1724" t="str">
        <f t="shared" si="10"/>
        <v/>
      </c>
      <c r="J66" s="1724" t="str">
        <f t="shared" si="10"/>
        <v/>
      </c>
      <c r="K66" s="1613"/>
      <c r="L66" s="1614"/>
    </row>
    <row r="67" spans="1:12">
      <c r="A67" s="1691" t="s">
        <v>2309</v>
      </c>
      <c r="B67" s="1725">
        <v>30</v>
      </c>
      <c r="C67" s="1720">
        <f>SUM(D67:L67)</f>
        <v>0</v>
      </c>
      <c r="D67" s="1720">
        <f>IF(AND((D23&gt;=$C$5),(SUM(D63,D65,D89:D113)&gt;=1)),MIN(SUM(D63,D65,D89:D113),VersPausch),0)</f>
        <v>0</v>
      </c>
      <c r="E67" s="1720">
        <f>IF(AND((E23&gt;=$C$5),(SUM(E63,E65,E89:E113)&gt;=1)),MIN(SUM(E63,E65,E89:E113),VersPausch),0)</f>
        <v>0</v>
      </c>
      <c r="F67" s="1720">
        <f>IF(AND((F22="-"),(SUM(F63,F65,F89:F113)&gt;=1)),MIN(SUM(F63,F65,F89:F113),VersPausch),0)</f>
        <v>0</v>
      </c>
      <c r="G67" s="1720">
        <f>IF(AND((G22="-"),(SUM(G63,G65,G89:G113)&gt;=1)),MIN(SUM(G63,G65,G89:G113),VersPausch),0)</f>
        <v>0</v>
      </c>
      <c r="H67" s="1720">
        <f>IF(AND((H22="-"),(SUM(H63,H65,H89:H113)&gt;=1)),MIN(SUM(H63,H65,H89:H113),VersPausch),0)</f>
        <v>0</v>
      </c>
      <c r="I67" s="1720">
        <f>IF(AND((I22="-"),(SUM(I63,I65,I89:I113)&gt;=1)),MIN(SUM(I63,I65,I89:I113),VersPausch),0)</f>
        <v>0</v>
      </c>
      <c r="J67" s="1720">
        <f>IF(AND((J22="-"),(SUM(J63,J65,J89:J113)&gt;=1)),MIN(SUM(J63,J65,J89:J113),VersPausch),0)</f>
        <v>0</v>
      </c>
      <c r="K67" s="1615"/>
      <c r="L67" s="1616"/>
    </row>
    <row r="68" spans="1:12">
      <c r="A68" s="795" t="s">
        <v>2392</v>
      </c>
      <c r="B68" s="1725"/>
      <c r="C68" s="1720"/>
      <c r="D68" s="1726"/>
      <c r="E68" s="1726"/>
      <c r="F68" s="1726"/>
      <c r="G68" s="1726"/>
      <c r="H68" s="1726"/>
      <c r="I68" s="1726"/>
      <c r="J68" s="1726"/>
      <c r="K68" s="1615"/>
      <c r="L68" s="1616"/>
    </row>
    <row r="69" spans="1:12">
      <c r="A69" s="1936" t="s">
        <v>2400</v>
      </c>
      <c r="B69" s="1903"/>
      <c r="C69" s="1880"/>
      <c r="D69" s="1935"/>
      <c r="E69" s="1935"/>
      <c r="F69" s="1935"/>
      <c r="G69" s="1935"/>
      <c r="H69" s="1935"/>
      <c r="I69" s="1935"/>
      <c r="J69" s="1935"/>
      <c r="K69" s="1615"/>
      <c r="L69" s="1616"/>
    </row>
    <row r="70" spans="1:12">
      <c r="A70" s="1691" t="s">
        <v>2310</v>
      </c>
      <c r="B70" s="1725"/>
      <c r="C70" s="1720">
        <f>SUM(D70:L70)</f>
        <v>0</v>
      </c>
      <c r="D70" s="1726"/>
      <c r="E70" s="1726">
        <v>0</v>
      </c>
      <c r="F70" s="1726">
        <v>0</v>
      </c>
      <c r="G70" s="1726">
        <v>0</v>
      </c>
      <c r="H70" s="1726">
        <v>0</v>
      </c>
      <c r="I70" s="1726">
        <v>0</v>
      </c>
      <c r="J70" s="1726">
        <v>0</v>
      </c>
      <c r="K70" s="1618"/>
      <c r="L70" s="1619"/>
    </row>
    <row r="71" spans="1:12">
      <c r="A71" s="1620" t="s">
        <v>2311</v>
      </c>
      <c r="B71" s="1725"/>
      <c r="C71" s="1720"/>
      <c r="D71" s="1727" t="s">
        <v>2401</v>
      </c>
      <c r="E71" s="1727" t="s">
        <v>2281</v>
      </c>
      <c r="F71" s="1727" t="s">
        <v>2281</v>
      </c>
      <c r="G71" s="1727" t="s">
        <v>2281</v>
      </c>
      <c r="H71" s="1727" t="s">
        <v>2281</v>
      </c>
      <c r="I71" s="1727" t="s">
        <v>2281</v>
      </c>
      <c r="J71" s="1727" t="s">
        <v>2281</v>
      </c>
      <c r="K71" s="1618"/>
      <c r="L71" s="1619"/>
    </row>
    <row r="72" spans="1:12">
      <c r="A72" s="1691" t="s">
        <v>2312</v>
      </c>
      <c r="B72" s="1725"/>
      <c r="C72" s="1720"/>
      <c r="D72" s="1759">
        <v>0</v>
      </c>
      <c r="E72" s="1759">
        <v>0</v>
      </c>
      <c r="F72" s="1759">
        <v>0</v>
      </c>
      <c r="G72" s="1759">
        <v>0</v>
      </c>
      <c r="H72" s="1759">
        <v>0</v>
      </c>
      <c r="I72" s="1759">
        <v>0</v>
      </c>
      <c r="J72" s="1759">
        <v>0</v>
      </c>
      <c r="K72" s="1618"/>
      <c r="L72" s="1619"/>
    </row>
    <row r="73" spans="1:12">
      <c r="A73" s="1691" t="s">
        <v>2313</v>
      </c>
      <c r="B73" s="1725"/>
      <c r="C73" s="1720"/>
      <c r="D73" s="1727"/>
      <c r="E73" s="1727"/>
      <c r="F73" s="1727"/>
      <c r="G73" s="1727"/>
      <c r="H73" s="1727"/>
      <c r="I73" s="1727"/>
      <c r="J73" s="1727"/>
      <c r="K73" s="1618"/>
      <c r="L73" s="1619"/>
    </row>
    <row r="74" spans="1:12" ht="16.5" thickBot="1">
      <c r="A74" s="837" t="s">
        <v>286</v>
      </c>
      <c r="B74" s="1903"/>
      <c r="C74" s="1880"/>
      <c r="D74" s="1904"/>
      <c r="E74" s="1904"/>
      <c r="F74" s="1904"/>
      <c r="G74" s="1904"/>
      <c r="H74" s="1904"/>
      <c r="I74" s="1904"/>
      <c r="J74" s="1904"/>
      <c r="K74" s="1618"/>
      <c r="L74" s="1619"/>
    </row>
    <row r="75" spans="1:12" ht="15.75">
      <c r="A75" s="1728" t="s">
        <v>2314</v>
      </c>
      <c r="B75" s="1691"/>
      <c r="C75" s="1720"/>
      <c r="D75" s="1729">
        <v>21</v>
      </c>
      <c r="E75" s="1729">
        <v>21</v>
      </c>
      <c r="F75" s="1729">
        <v>21</v>
      </c>
      <c r="G75" s="1729">
        <v>21</v>
      </c>
      <c r="H75" s="1729">
        <v>21</v>
      </c>
      <c r="I75" s="1729">
        <v>21</v>
      </c>
      <c r="J75" s="1729">
        <v>21</v>
      </c>
      <c r="K75" s="1621"/>
      <c r="L75" s="1622"/>
    </row>
    <row r="76" spans="1:12" ht="15.75">
      <c r="A76" s="1998" t="s">
        <v>2315</v>
      </c>
      <c r="B76" s="1999"/>
      <c r="C76" s="1720"/>
      <c r="D76" s="1819"/>
      <c r="E76" s="1819"/>
      <c r="F76" s="1819"/>
      <c r="G76" s="1819"/>
      <c r="H76" s="1819"/>
      <c r="I76" s="1819"/>
      <c r="J76" s="1819"/>
      <c r="K76" s="1618"/>
      <c r="L76" s="1619"/>
    </row>
    <row r="77" spans="1:12" ht="16.5" thickBot="1">
      <c r="A77" s="1731" t="s">
        <v>2316</v>
      </c>
      <c r="B77" s="1691"/>
      <c r="C77" s="1720"/>
      <c r="D77" s="1732">
        <v>0</v>
      </c>
      <c r="E77" s="1732">
        <v>0</v>
      </c>
      <c r="F77" s="1732">
        <v>0</v>
      </c>
      <c r="G77" s="1732">
        <v>0</v>
      </c>
      <c r="H77" s="1732">
        <v>0</v>
      </c>
      <c r="I77" s="1732">
        <v>0</v>
      </c>
      <c r="J77" s="1732">
        <v>0</v>
      </c>
      <c r="K77" s="1623"/>
      <c r="L77" s="1624"/>
    </row>
    <row r="78" spans="1:12" ht="30">
      <c r="A78" s="1697" t="s">
        <v>2317</v>
      </c>
      <c r="B78" s="1733"/>
      <c r="C78" s="1734">
        <f t="shared" ref="C78:C83" si="11">SUM(D78:L78)</f>
        <v>0</v>
      </c>
      <c r="D78" s="1735"/>
      <c r="E78" s="1735"/>
      <c r="F78" s="1735"/>
      <c r="G78" s="1735"/>
      <c r="H78" s="1735"/>
      <c r="I78" s="1735"/>
      <c r="J78" s="1735"/>
      <c r="K78" s="1626"/>
      <c r="L78" s="1627"/>
    </row>
    <row r="79" spans="1:12" ht="42.75">
      <c r="A79" s="1697" t="s">
        <v>2318</v>
      </c>
      <c r="B79" s="1733"/>
      <c r="C79" s="1734">
        <f t="shared" si="11"/>
        <v>0</v>
      </c>
      <c r="D79" s="1735"/>
      <c r="E79" s="1735"/>
      <c r="F79" s="1735"/>
      <c r="G79" s="1735"/>
      <c r="H79" s="1735"/>
      <c r="I79" s="1735"/>
      <c r="J79" s="1735"/>
      <c r="K79" s="1626"/>
      <c r="L79" s="1627"/>
    </row>
    <row r="80" spans="1:12">
      <c r="A80" s="1691" t="s">
        <v>2319</v>
      </c>
      <c r="B80" s="1691"/>
      <c r="C80" s="1720">
        <f t="shared" si="11"/>
        <v>0</v>
      </c>
      <c r="D80" s="1730"/>
      <c r="E80" s="1730"/>
      <c r="F80" s="1730"/>
      <c r="G80" s="1730"/>
      <c r="H80" s="1730"/>
      <c r="I80" s="1730"/>
      <c r="J80" s="1730"/>
      <c r="K80" s="1618"/>
      <c r="L80" s="1619"/>
    </row>
    <row r="81" spans="1:12">
      <c r="A81" s="1691" t="s">
        <v>2320</v>
      </c>
      <c r="B81" s="1691"/>
      <c r="C81" s="1720">
        <f t="shared" si="11"/>
        <v>0</v>
      </c>
      <c r="D81" s="1726"/>
      <c r="E81" s="1726"/>
      <c r="F81" s="1726"/>
      <c r="G81" s="1726"/>
      <c r="H81" s="1726"/>
      <c r="I81" s="1726"/>
      <c r="J81" s="1726"/>
      <c r="K81" s="1618"/>
      <c r="L81" s="1619"/>
    </row>
    <row r="82" spans="1:12">
      <c r="A82" s="1691" t="s">
        <v>2321</v>
      </c>
      <c r="B82" s="1691"/>
      <c r="C82" s="1720">
        <f t="shared" si="11"/>
        <v>0</v>
      </c>
      <c r="D82" s="1730"/>
      <c r="E82" s="1730"/>
      <c r="F82" s="1730"/>
      <c r="G82" s="1730"/>
      <c r="H82" s="1730"/>
      <c r="I82" s="1730"/>
      <c r="J82" s="1730"/>
      <c r="K82" s="1618"/>
      <c r="L82" s="1619"/>
    </row>
    <row r="83" spans="1:12">
      <c r="A83" s="1691" t="s">
        <v>2322</v>
      </c>
      <c r="B83" s="1691"/>
      <c r="C83" s="1720">
        <f t="shared" si="11"/>
        <v>0</v>
      </c>
      <c r="D83" s="1726"/>
      <c r="E83" s="1726"/>
      <c r="F83" s="1726"/>
      <c r="G83" s="1726"/>
      <c r="H83" s="1726"/>
      <c r="I83" s="1726"/>
      <c r="J83" s="1726"/>
      <c r="K83" s="1618"/>
      <c r="L83" s="1619"/>
    </row>
    <row r="84" spans="1:12" ht="15">
      <c r="A84" s="1898" t="str">
        <f>IF(AND(C83&gt;0,C65&gt;0),"Sind die vorstehenden Werbungskosten als Betriebsausgabe in der EKS enthalten?","")</f>
        <v/>
      </c>
      <c r="B84" s="1952" t="str">
        <f>IF(AND(C83&gt;0,C65&gt;0),"→→→→→→","")</f>
        <v/>
      </c>
      <c r="C84" s="1953"/>
      <c r="D84" s="1902"/>
      <c r="E84" s="1902"/>
      <c r="F84" s="1901"/>
      <c r="G84" s="1899"/>
      <c r="H84" s="1899"/>
      <c r="I84" s="1899"/>
      <c r="J84" s="1900"/>
      <c r="K84" s="1618"/>
      <c r="L84" s="1619"/>
    </row>
    <row r="85" spans="1:12" ht="17.25" customHeight="1">
      <c r="A85" s="1878" t="s">
        <v>2323</v>
      </c>
      <c r="B85" s="1691"/>
      <c r="C85" s="1720"/>
      <c r="D85" s="1628" t="b">
        <v>0</v>
      </c>
      <c r="E85" s="1628" t="b">
        <v>0</v>
      </c>
      <c r="F85" s="1628" t="b">
        <v>0</v>
      </c>
      <c r="G85" s="1628" t="b">
        <v>0</v>
      </c>
      <c r="H85" s="1628"/>
      <c r="I85" s="1628"/>
      <c r="J85" s="1629"/>
      <c r="K85" s="1618"/>
      <c r="L85" s="1619"/>
    </row>
    <row r="86" spans="1:12">
      <c r="A86" s="1876" t="str">
        <f>IF(C86&gt;0,"Monatliches Bruttoeinkommen (nur für Berechnung Riesterbeitrag)","")</f>
        <v/>
      </c>
      <c r="B86" s="1554"/>
      <c r="C86" s="1611">
        <f>SUM(D86:L86)</f>
        <v>0</v>
      </c>
      <c r="D86" s="1877">
        <f>IF(D85=TRUE,Zusatzeingaben!C208,0)</f>
        <v>0</v>
      </c>
      <c r="E86" s="1877">
        <f>IF(E85=TRUE,Zusatzeingaben!D208,0)</f>
        <v>0</v>
      </c>
      <c r="F86" s="1877">
        <f>IF(F85=TRUE,Zusatzeingaben!E208,0)</f>
        <v>0</v>
      </c>
      <c r="G86" s="1877">
        <f>IF(G85=TRUE,Zusatzeingaben!F208,0)</f>
        <v>0</v>
      </c>
      <c r="H86" s="1877"/>
      <c r="I86" s="1877"/>
      <c r="J86" s="1877"/>
      <c r="K86" s="1618"/>
      <c r="L86" s="1619"/>
    </row>
    <row r="87" spans="1:12">
      <c r="A87" s="1554" t="s">
        <v>2324</v>
      </c>
      <c r="B87" s="1554"/>
      <c r="C87" s="1611">
        <f>SUM(D87:L87)</f>
        <v>0</v>
      </c>
      <c r="D87" s="1617"/>
      <c r="E87" s="1617"/>
      <c r="F87" s="1617"/>
      <c r="G87" s="1617"/>
      <c r="H87" s="1617"/>
      <c r="I87" s="1617"/>
      <c r="J87" s="1617"/>
      <c r="K87" s="1618"/>
      <c r="L87" s="1619"/>
    </row>
    <row r="88" spans="1:12" ht="8.4499999999999993" customHeight="1">
      <c r="A88" s="1630"/>
      <c r="B88" s="1630"/>
      <c r="C88" s="1631"/>
      <c r="D88" s="1632"/>
      <c r="E88" s="1632"/>
      <c r="F88" s="1632"/>
      <c r="G88" s="1632"/>
      <c r="H88" s="1632"/>
      <c r="I88" s="1632"/>
      <c r="J88" s="1632"/>
      <c r="K88" s="1633"/>
      <c r="L88" s="1634"/>
    </row>
    <row r="89" spans="1:12" ht="13.5" thickBot="1">
      <c r="A89" s="1881" t="s">
        <v>2325</v>
      </c>
      <c r="B89" s="1881"/>
      <c r="C89" s="1882">
        <f t="shared" ref="C89:C108" si="12">SUM(D89:L89)</f>
        <v>0</v>
      </c>
      <c r="D89" s="1883"/>
      <c r="E89" s="1883"/>
      <c r="F89" s="1883"/>
      <c r="G89" s="1883"/>
      <c r="H89" s="1883"/>
      <c r="I89" s="1883"/>
      <c r="J89" s="1883"/>
      <c r="K89" s="1588"/>
      <c r="L89" s="1589"/>
    </row>
    <row r="90" spans="1:12">
      <c r="A90" s="1890" t="s">
        <v>2366</v>
      </c>
      <c r="B90" s="1884"/>
      <c r="C90" s="1885">
        <f t="shared" ref="C90" si="13">SUM(D90:L90)</f>
        <v>0</v>
      </c>
      <c r="D90" s="1886"/>
      <c r="E90" s="1886"/>
      <c r="F90" s="1886"/>
      <c r="G90" s="1886"/>
      <c r="H90" s="1886"/>
      <c r="I90" s="1886"/>
      <c r="J90" s="1887"/>
      <c r="K90" s="1589"/>
      <c r="L90" s="1589"/>
    </row>
    <row r="91" spans="1:12">
      <c r="A91" s="1888" t="str">
        <f>IF(C90&gt;0,"vom Träger bereitgestellte Verpflegung","")</f>
        <v/>
      </c>
      <c r="B91" s="1840"/>
      <c r="C91" s="1880"/>
      <c r="D91" s="1841"/>
      <c r="E91" s="1841"/>
      <c r="F91" s="1841"/>
      <c r="G91" s="1841"/>
      <c r="H91" s="1841"/>
      <c r="I91" s="1841"/>
      <c r="J91" s="1889"/>
      <c r="K91" s="1589"/>
      <c r="L91" s="1589"/>
    </row>
    <row r="92" spans="1:12">
      <c r="A92" s="1888" t="str">
        <f>IF(C90&gt;0,"an durchschnittlich ____ Tagen im Monat","")</f>
        <v/>
      </c>
      <c r="B92" s="1840"/>
      <c r="C92" s="1880"/>
      <c r="D92" s="1841"/>
      <c r="E92" s="1841"/>
      <c r="F92" s="1841"/>
      <c r="G92" s="1841"/>
      <c r="H92" s="1841"/>
      <c r="I92" s="1841"/>
      <c r="J92" s="1889"/>
      <c r="K92" s="1589"/>
      <c r="L92" s="1589"/>
    </row>
    <row r="93" spans="1:12">
      <c r="A93" s="1888" t="str">
        <f>IF(SUM(D92:J92)&gt;0,"Wert Verpflegung","")</f>
        <v/>
      </c>
      <c r="B93" s="1840"/>
      <c r="C93" s="1880">
        <f>SUM(D93:J93)</f>
        <v>0</v>
      </c>
      <c r="D93" s="1891">
        <f t="shared" ref="D93:J93" si="14">IF(D91="vollverpflegung",D23*D92*1%,IF(D91="frühstück",D23*D92*0.2%,IF(D91="mittagessen",D23*D92*0.4%,IF(D91="abendessen",D23*D92*0.4%,0))))</f>
        <v>0</v>
      </c>
      <c r="E93" s="1891">
        <f t="shared" si="14"/>
        <v>0</v>
      </c>
      <c r="F93" s="1891">
        <f t="shared" si="14"/>
        <v>0</v>
      </c>
      <c r="G93" s="1891">
        <f t="shared" si="14"/>
        <v>0</v>
      </c>
      <c r="H93" s="1891">
        <f t="shared" si="14"/>
        <v>0</v>
      </c>
      <c r="I93" s="1891">
        <f t="shared" si="14"/>
        <v>0</v>
      </c>
      <c r="J93" s="1892">
        <f t="shared" si="14"/>
        <v>0</v>
      </c>
      <c r="K93" s="1589"/>
      <c r="L93" s="1589"/>
    </row>
    <row r="94" spans="1:12">
      <c r="A94" s="1912" t="str">
        <f>IF(C90&gt;0,"notwendige Ausgaben","")</f>
        <v/>
      </c>
      <c r="B94" s="1881"/>
      <c r="C94" s="1882">
        <f>SUM(D94:J94)</f>
        <v>0</v>
      </c>
      <c r="D94" s="1883"/>
      <c r="E94" s="1883"/>
      <c r="F94" s="1883"/>
      <c r="G94" s="1883"/>
      <c r="H94" s="1883"/>
      <c r="I94" s="1883"/>
      <c r="J94" s="1913"/>
      <c r="K94" s="1589"/>
      <c r="L94" s="1589"/>
    </row>
    <row r="95" spans="1:12">
      <c r="A95" s="1840" t="s">
        <v>2326</v>
      </c>
      <c r="B95" s="1840"/>
      <c r="C95" s="1880">
        <f t="shared" si="12"/>
        <v>0</v>
      </c>
      <c r="D95" s="1908"/>
      <c r="E95" s="1908"/>
      <c r="F95" s="1908"/>
      <c r="G95" s="1908"/>
      <c r="H95" s="1908"/>
      <c r="I95" s="1908"/>
      <c r="J95" s="1908"/>
      <c r="K95" s="1588"/>
      <c r="L95" s="1589"/>
    </row>
    <row r="96" spans="1:12">
      <c r="A96" s="1554"/>
      <c r="B96" s="1554"/>
      <c r="C96" s="1611"/>
      <c r="D96" s="1909"/>
      <c r="E96" s="1909"/>
      <c r="F96" s="1909"/>
      <c r="G96" s="1909"/>
      <c r="H96" s="1909"/>
      <c r="I96" s="1909"/>
      <c r="J96" s="1909"/>
      <c r="K96" s="1588"/>
      <c r="L96" s="1589"/>
    </row>
    <row r="97" spans="1:12">
      <c r="A97" s="1876" t="s">
        <v>2390</v>
      </c>
      <c r="B97" s="1554"/>
      <c r="C97" s="1611">
        <f t="shared" si="12"/>
        <v>0</v>
      </c>
      <c r="D97" s="1612"/>
      <c r="E97" s="1612"/>
      <c r="F97" s="1612">
        <f>Zusatzeingaben!E192</f>
        <v>0</v>
      </c>
      <c r="G97" s="1612">
        <f>Zusatzeingaben!F192</f>
        <v>0</v>
      </c>
      <c r="H97" s="1612">
        <f>Zusatzeingaben!G192</f>
        <v>0</v>
      </c>
      <c r="I97" s="1612">
        <f>Zusatzeingaben!H192</f>
        <v>0</v>
      </c>
      <c r="J97" s="1612">
        <f>Zusatzeingaben!I192</f>
        <v>0</v>
      </c>
      <c r="K97" s="1588"/>
      <c r="L97" s="1589"/>
    </row>
    <row r="98" spans="1:12">
      <c r="A98" s="1921" t="str">
        <f ca="1">IF(MAX(F21:J21)&gt;17,"Kind über 18, Kindergeld ggf. manuell eintragen","")</f>
        <v/>
      </c>
      <c r="B98" s="1939"/>
      <c r="C98" s="1920"/>
      <c r="D98" s="1922"/>
      <c r="E98" s="1922"/>
      <c r="F98" s="1923"/>
      <c r="G98" s="1923"/>
      <c r="H98" s="1923"/>
      <c r="I98" s="1923"/>
      <c r="J98" s="1923"/>
      <c r="K98" s="1588"/>
      <c r="L98" s="1589"/>
    </row>
    <row r="99" spans="1:12">
      <c r="A99" s="1635" t="s">
        <v>80</v>
      </c>
      <c r="B99" s="1554"/>
      <c r="C99" s="1611">
        <f t="shared" si="12"/>
        <v>0</v>
      </c>
      <c r="D99" s="1572"/>
      <c r="E99" s="1572"/>
      <c r="F99" s="1572"/>
      <c r="G99" s="1572"/>
      <c r="H99" s="1572"/>
      <c r="I99" s="1572"/>
      <c r="J99" s="1572"/>
      <c r="K99" s="1588"/>
      <c r="L99" s="1589"/>
    </row>
    <row r="100" spans="1:12">
      <c r="A100" s="1851" t="s">
        <v>2376</v>
      </c>
      <c r="B100" s="1840"/>
      <c r="C100" s="1611">
        <f t="shared" si="12"/>
        <v>0</v>
      </c>
      <c r="D100" s="1841"/>
      <c r="E100" s="1841"/>
      <c r="F100" s="1841">
        <f>Zusatzeingaben!E194</f>
        <v>0</v>
      </c>
      <c r="G100" s="1841">
        <f>Zusatzeingaben!F194</f>
        <v>0</v>
      </c>
      <c r="H100" s="1841">
        <f>Zusatzeingaben!G194</f>
        <v>0</v>
      </c>
      <c r="I100" s="1841">
        <f>Zusatzeingaben!H194</f>
        <v>0</v>
      </c>
      <c r="J100" s="1841">
        <f>Zusatzeingaben!I194</f>
        <v>0</v>
      </c>
      <c r="K100" s="1588"/>
      <c r="L100" s="1589"/>
    </row>
    <row r="101" spans="1:12" hidden="1">
      <c r="A101" s="1840"/>
      <c r="B101" s="1840"/>
      <c r="C101" s="1611">
        <f t="shared" si="12"/>
        <v>0</v>
      </c>
      <c r="D101" s="1842"/>
      <c r="E101" s="1842"/>
      <c r="F101" s="1842">
        <f>F99+F100</f>
        <v>0</v>
      </c>
      <c r="G101" s="1842">
        <f t="shared" ref="G101:J101" si="15">G99+G100</f>
        <v>0</v>
      </c>
      <c r="H101" s="1842">
        <f t="shared" si="15"/>
        <v>0</v>
      </c>
      <c r="I101" s="1842">
        <f t="shared" si="15"/>
        <v>0</v>
      </c>
      <c r="J101" s="1842">
        <f t="shared" si="15"/>
        <v>0</v>
      </c>
      <c r="K101" s="1588"/>
      <c r="L101" s="1589"/>
    </row>
    <row r="102" spans="1:12">
      <c r="A102" s="1554" t="s">
        <v>2328</v>
      </c>
      <c r="B102" s="1554"/>
      <c r="C102" s="1611">
        <f t="shared" si="12"/>
        <v>0</v>
      </c>
      <c r="D102" s="1612"/>
      <c r="E102" s="1612"/>
      <c r="F102" s="1612"/>
      <c r="G102" s="1612"/>
      <c r="H102" s="1612"/>
      <c r="I102" s="1612"/>
      <c r="J102" s="1612"/>
      <c r="K102" s="1588"/>
      <c r="L102" s="1589"/>
    </row>
    <row r="103" spans="1:12">
      <c r="A103" s="1554" t="s">
        <v>2329</v>
      </c>
      <c r="B103" s="1554"/>
      <c r="C103" s="1611">
        <f t="shared" si="12"/>
        <v>0</v>
      </c>
      <c r="D103" s="1612"/>
      <c r="E103" s="1612"/>
      <c r="F103" s="1612"/>
      <c r="G103" s="1612"/>
      <c r="H103" s="1612"/>
      <c r="I103" s="1612"/>
      <c r="J103" s="1612"/>
      <c r="K103" s="1588"/>
      <c r="L103" s="1589"/>
    </row>
    <row r="104" spans="1:12" ht="18.75">
      <c r="A104" s="1938" t="s">
        <v>2399</v>
      </c>
      <c r="B104" s="1937" t="str">
        <f ca="1">IF(OR(VALUE(D21)&gt;=63,VALUE(E21)&gt;=63),"→→→→→","")</f>
        <v/>
      </c>
      <c r="C104" s="1611">
        <f t="shared" si="12"/>
        <v>0</v>
      </c>
      <c r="D104" s="1572"/>
      <c r="E104" s="1572"/>
      <c r="F104" s="1572"/>
      <c r="G104" s="1572"/>
      <c r="H104" s="1572"/>
      <c r="I104" s="1572"/>
      <c r="J104" s="1572"/>
      <c r="K104" s="1588"/>
      <c r="L104" s="1589"/>
    </row>
    <row r="105" spans="1:12" ht="15.75">
      <c r="A105" s="92" t="s">
        <v>2327</v>
      </c>
      <c r="B105" s="1740"/>
      <c r="C105" s="1611">
        <f t="shared" si="12"/>
        <v>0</v>
      </c>
      <c r="D105" s="1746"/>
      <c r="E105" s="1746"/>
      <c r="F105" s="1746"/>
      <c r="G105" s="1746"/>
      <c r="H105" s="1746"/>
      <c r="I105" s="1746"/>
      <c r="J105" s="1746"/>
      <c r="K105" s="1588"/>
      <c r="L105" s="1589"/>
    </row>
    <row r="106" spans="1:12">
      <c r="A106" s="1636" t="s">
        <v>2330</v>
      </c>
      <c r="B106" s="1554"/>
      <c r="C106" s="1611">
        <f t="shared" si="12"/>
        <v>0</v>
      </c>
      <c r="D106" s="1572"/>
      <c r="E106" s="1572"/>
      <c r="F106" s="1572"/>
      <c r="G106" s="1572"/>
      <c r="H106" s="1572"/>
      <c r="I106" s="1572"/>
      <c r="J106" s="1572"/>
      <c r="K106" s="1588"/>
      <c r="L106" s="1589"/>
    </row>
    <row r="107" spans="1:12">
      <c r="A107" s="1554" t="s">
        <v>2331</v>
      </c>
      <c r="B107" s="1554"/>
      <c r="C107" s="1611">
        <f t="shared" si="12"/>
        <v>0</v>
      </c>
      <c r="D107" s="1612"/>
      <c r="E107" s="1612"/>
      <c r="F107" s="1612"/>
      <c r="G107" s="1612"/>
      <c r="H107" s="1612"/>
      <c r="I107" s="1612"/>
      <c r="J107" s="1612"/>
      <c r="K107" s="1588"/>
      <c r="L107" s="1589"/>
    </row>
    <row r="108" spans="1:12" ht="25.5">
      <c r="A108" s="1568" t="s">
        <v>2332</v>
      </c>
      <c r="B108" s="1554"/>
      <c r="C108" s="1625">
        <f t="shared" si="12"/>
        <v>0</v>
      </c>
      <c r="D108" s="1637"/>
      <c r="E108" s="1605"/>
      <c r="F108" s="1605"/>
      <c r="G108" s="1605"/>
      <c r="H108" s="1605"/>
      <c r="I108" s="1605"/>
      <c r="J108" s="1605"/>
      <c r="K108" s="1603"/>
      <c r="L108" s="1604"/>
    </row>
    <row r="109" spans="1:12">
      <c r="A109" s="1554" t="s">
        <v>61</v>
      </c>
      <c r="B109" s="1554"/>
      <c r="C109" s="1611">
        <f>SUM(D109:E109)</f>
        <v>0</v>
      </c>
      <c r="D109" s="1638"/>
      <c r="E109" s="1639"/>
      <c r="F109" s="1605"/>
      <c r="G109" s="1605"/>
      <c r="H109" s="1605"/>
      <c r="I109" s="1605"/>
      <c r="J109" s="1605"/>
      <c r="K109" s="1603"/>
      <c r="L109" s="1604"/>
    </row>
    <row r="110" spans="1:12" ht="25.5">
      <c r="A110" s="1568" t="s">
        <v>2333</v>
      </c>
      <c r="B110" s="1554"/>
      <c r="C110" s="1625">
        <f>SUM(D110:E110)</f>
        <v>0</v>
      </c>
      <c r="D110" s="1749"/>
      <c r="E110" s="1750"/>
      <c r="F110" s="1605"/>
      <c r="G110" s="1605"/>
      <c r="H110" s="1605"/>
      <c r="I110" s="1605"/>
      <c r="J110" s="1605"/>
      <c r="K110" s="1603"/>
      <c r="L110" s="1604"/>
    </row>
    <row r="111" spans="1:12">
      <c r="A111" s="1635" t="s">
        <v>2396</v>
      </c>
      <c r="B111" s="1554"/>
      <c r="C111" s="1611">
        <f>SUM(D111:E111)</f>
        <v>0</v>
      </c>
      <c r="D111" s="1748" t="s">
        <v>2281</v>
      </c>
      <c r="E111" s="1640" t="s">
        <v>2281</v>
      </c>
      <c r="F111" s="1605"/>
      <c r="G111" s="1605"/>
      <c r="H111" s="1605"/>
      <c r="I111" s="1605"/>
      <c r="J111" s="1605"/>
      <c r="K111" s="1603"/>
      <c r="L111" s="1604"/>
    </row>
    <row r="112" spans="1:12">
      <c r="A112" s="1554" t="s">
        <v>2334</v>
      </c>
      <c r="B112" s="1554"/>
      <c r="C112" s="1611">
        <f>SUM(D112:E112)</f>
        <v>0</v>
      </c>
      <c r="D112" s="1638">
        <f>Berechnung!C119</f>
        <v>0</v>
      </c>
      <c r="E112" s="1638">
        <f>Berechnung!D119</f>
        <v>0</v>
      </c>
      <c r="F112" s="1605"/>
      <c r="G112" s="1605"/>
      <c r="H112" s="1605"/>
      <c r="I112" s="1605"/>
      <c r="J112" s="1605"/>
      <c r="K112" s="1603"/>
      <c r="L112" s="1604"/>
    </row>
    <row r="113" spans="1:12">
      <c r="A113" s="1554" t="s">
        <v>2335</v>
      </c>
      <c r="B113" s="1554"/>
      <c r="C113" s="1611">
        <f>SUM(F113:L113)</f>
        <v>0</v>
      </c>
      <c r="D113" s="1641">
        <f>Berechnung!C137</f>
        <v>0</v>
      </c>
      <c r="E113" s="1642"/>
      <c r="F113" s="1605"/>
      <c r="G113" s="1605"/>
      <c r="H113" s="1605"/>
      <c r="I113" s="1605"/>
      <c r="J113" s="1605"/>
      <c r="K113" s="1603"/>
      <c r="L113" s="1604"/>
    </row>
    <row r="114" spans="1:12" hidden="1">
      <c r="A114" s="1643" t="s">
        <v>2336</v>
      </c>
      <c r="B114" s="1643"/>
      <c r="C114" s="1581">
        <f t="shared" ref="C114:C119" si="16">SUM(D114:L114)</f>
        <v>0</v>
      </c>
      <c r="D114" s="1644">
        <f t="shared" ref="D114:J114" si="17">SUM(D63,D65)</f>
        <v>0</v>
      </c>
      <c r="E114" s="1644">
        <f t="shared" si="17"/>
        <v>0</v>
      </c>
      <c r="F114" s="1644">
        <f t="shared" si="17"/>
        <v>0</v>
      </c>
      <c r="G114" s="1644">
        <f t="shared" si="17"/>
        <v>0</v>
      </c>
      <c r="H114" s="1644">
        <f t="shared" si="17"/>
        <v>0</v>
      </c>
      <c r="I114" s="1644">
        <f t="shared" si="17"/>
        <v>0</v>
      </c>
      <c r="J114" s="1644">
        <f t="shared" si="17"/>
        <v>0</v>
      </c>
      <c r="K114" s="1645"/>
      <c r="L114" s="1646"/>
    </row>
    <row r="115" spans="1:12" hidden="1">
      <c r="A115" s="1643" t="s">
        <v>2337</v>
      </c>
      <c r="B115" s="1643"/>
      <c r="C115" s="1581">
        <f t="shared" si="16"/>
        <v>0</v>
      </c>
      <c r="D115" s="1644">
        <f t="shared" ref="D115:J115" si="18">SUM(D64,D65)</f>
        <v>0</v>
      </c>
      <c r="E115" s="1644">
        <f t="shared" si="18"/>
        <v>0</v>
      </c>
      <c r="F115" s="1644">
        <f t="shared" si="18"/>
        <v>0</v>
      </c>
      <c r="G115" s="1644">
        <f t="shared" si="18"/>
        <v>0</v>
      </c>
      <c r="H115" s="1644">
        <f t="shared" si="18"/>
        <v>0</v>
      </c>
      <c r="I115" s="1644">
        <f t="shared" si="18"/>
        <v>0</v>
      </c>
      <c r="J115" s="1644">
        <f t="shared" si="18"/>
        <v>0</v>
      </c>
      <c r="K115" s="1645"/>
      <c r="L115" s="1646"/>
    </row>
    <row r="116" spans="1:12" ht="25.5" hidden="1">
      <c r="A116" s="1643" t="s">
        <v>2338</v>
      </c>
      <c r="B116" s="1643"/>
      <c r="C116" s="1581">
        <f t="shared" si="16"/>
        <v>0</v>
      </c>
      <c r="D116" s="1647">
        <f t="shared" ref="D116:J116" si="19">SUM(D89:D109)-D112</f>
        <v>0</v>
      </c>
      <c r="E116" s="1647">
        <f t="shared" si="19"/>
        <v>0</v>
      </c>
      <c r="F116" s="1647">
        <f t="shared" si="19"/>
        <v>0</v>
      </c>
      <c r="G116" s="1647">
        <f t="shared" si="19"/>
        <v>0</v>
      </c>
      <c r="H116" s="1647">
        <f t="shared" si="19"/>
        <v>0</v>
      </c>
      <c r="I116" s="1647">
        <f t="shared" si="19"/>
        <v>0</v>
      </c>
      <c r="J116" s="1647">
        <f t="shared" si="19"/>
        <v>0</v>
      </c>
      <c r="K116" s="1648"/>
      <c r="L116" s="1649"/>
    </row>
    <row r="117" spans="1:12" hidden="1">
      <c r="A117" s="1643" t="s">
        <v>2339</v>
      </c>
      <c r="B117" s="1643"/>
      <c r="C117" s="1581">
        <f t="shared" si="16"/>
        <v>0</v>
      </c>
      <c r="D117" s="1644">
        <f t="shared" ref="D117:J117" si="20">IF((D103+D115)&gt;0,MIN(D103+D115,100),0)</f>
        <v>0</v>
      </c>
      <c r="E117" s="1644">
        <f t="shared" si="20"/>
        <v>0</v>
      </c>
      <c r="F117" s="1644">
        <f t="shared" si="20"/>
        <v>0</v>
      </c>
      <c r="G117" s="1644">
        <f t="shared" si="20"/>
        <v>0</v>
      </c>
      <c r="H117" s="1644">
        <f t="shared" si="20"/>
        <v>0</v>
      </c>
      <c r="I117" s="1644">
        <f t="shared" si="20"/>
        <v>0</v>
      </c>
      <c r="J117" s="1644">
        <f t="shared" si="20"/>
        <v>0</v>
      </c>
      <c r="K117" s="1645"/>
      <c r="L117" s="1646"/>
    </row>
    <row r="118" spans="1:12" hidden="1">
      <c r="A118" s="1643" t="s">
        <v>2340</v>
      </c>
      <c r="B118" s="1643"/>
      <c r="C118" s="1581">
        <f t="shared" si="16"/>
        <v>0</v>
      </c>
      <c r="D118" s="1644">
        <f t="shared" ref="D118:J118" si="21">IF(D89&gt;0,MIN(D89,200),0)</f>
        <v>0</v>
      </c>
      <c r="E118" s="1644">
        <f t="shared" si="21"/>
        <v>0</v>
      </c>
      <c r="F118" s="1644">
        <f t="shared" si="21"/>
        <v>0</v>
      </c>
      <c r="G118" s="1644">
        <f t="shared" si="21"/>
        <v>0</v>
      </c>
      <c r="H118" s="1644">
        <f t="shared" si="21"/>
        <v>0</v>
      </c>
      <c r="I118" s="1644">
        <f t="shared" si="21"/>
        <v>0</v>
      </c>
      <c r="J118" s="1644">
        <f t="shared" si="21"/>
        <v>0</v>
      </c>
      <c r="K118" s="1645"/>
      <c r="L118" s="1646"/>
    </row>
    <row r="119" spans="1:12" hidden="1">
      <c r="A119" s="1643" t="s">
        <v>2341</v>
      </c>
      <c r="B119" s="1643"/>
      <c r="C119" s="1581">
        <f t="shared" si="16"/>
        <v>0</v>
      </c>
      <c r="D119" s="1644">
        <f t="shared" ref="D119:J119" si="22">MIN(D117+D118,200)</f>
        <v>0</v>
      </c>
      <c r="E119" s="1644">
        <f t="shared" si="22"/>
        <v>0</v>
      </c>
      <c r="F119" s="1644">
        <f t="shared" si="22"/>
        <v>0</v>
      </c>
      <c r="G119" s="1644">
        <f t="shared" si="22"/>
        <v>0</v>
      </c>
      <c r="H119" s="1644">
        <f t="shared" si="22"/>
        <v>0</v>
      </c>
      <c r="I119" s="1644">
        <f t="shared" si="22"/>
        <v>0</v>
      </c>
      <c r="J119" s="1644">
        <f t="shared" si="22"/>
        <v>0</v>
      </c>
      <c r="K119" s="1645"/>
      <c r="L119" s="1646"/>
    </row>
    <row r="120" spans="1:12" hidden="1">
      <c r="A120" s="1643" t="s">
        <v>2342</v>
      </c>
      <c r="B120" s="1643"/>
      <c r="C120" s="1581"/>
      <c r="D120" s="1644">
        <f t="shared" ref="D120:J120" si="23">IF(SUM(D114+D116)=D97,0,IF(SUM(D114+D116)=(D97+D103),0,SUM(D114+D89+D103-D97)))</f>
        <v>0</v>
      </c>
      <c r="E120" s="1644">
        <f t="shared" si="23"/>
        <v>0</v>
      </c>
      <c r="F120" s="1644">
        <f t="shared" si="23"/>
        <v>0</v>
      </c>
      <c r="G120" s="1644">
        <f t="shared" si="23"/>
        <v>0</v>
      </c>
      <c r="H120" s="1644">
        <f t="shared" si="23"/>
        <v>0</v>
      </c>
      <c r="I120" s="1644">
        <f t="shared" si="23"/>
        <v>0</v>
      </c>
      <c r="J120" s="1644">
        <f t="shared" si="23"/>
        <v>0</v>
      </c>
      <c r="K120" s="1645"/>
      <c r="L120" s="1646"/>
    </row>
    <row r="121" spans="1:12" ht="25.5" hidden="1">
      <c r="A121" s="1643" t="s">
        <v>2343</v>
      </c>
      <c r="B121" s="1650">
        <v>0.2</v>
      </c>
      <c r="C121" s="1581">
        <f>SUM(D121:L121)</f>
        <v>0</v>
      </c>
      <c r="D121" s="1644">
        <f t="shared" ref="D121:J121" si="24">IF((D$114+D$116-D119)&lt;=0,0,IF(D120=D119,0,IF((D120-D119)&lt;0,0,MIN((D$120-100),900)*$B121)))</f>
        <v>0</v>
      </c>
      <c r="E121" s="1644">
        <f t="shared" si="24"/>
        <v>0</v>
      </c>
      <c r="F121" s="1644">
        <f t="shared" si="24"/>
        <v>0</v>
      </c>
      <c r="G121" s="1644">
        <f t="shared" si="24"/>
        <v>0</v>
      </c>
      <c r="H121" s="1644">
        <f t="shared" si="24"/>
        <v>0</v>
      </c>
      <c r="I121" s="1644">
        <f t="shared" si="24"/>
        <v>0</v>
      </c>
      <c r="J121" s="1644">
        <f t="shared" si="24"/>
        <v>0</v>
      </c>
      <c r="K121" s="1645"/>
      <c r="L121" s="1646"/>
    </row>
    <row r="122" spans="1:12" ht="38.25" hidden="1">
      <c r="A122" s="1643" t="s">
        <v>2344</v>
      </c>
      <c r="B122" s="1643"/>
      <c r="C122" s="1644"/>
      <c r="D122" s="1651">
        <f>IF(D25="Ja",1500,IF(SUM($F$23:$L$23)&gt;0,1500,1200))</f>
        <v>1200</v>
      </c>
      <c r="E122" s="1651">
        <f>IF(E25="Ja",1500,IF(SUM($F$23:$L$23)&gt;0,1500,1200))</f>
        <v>1200</v>
      </c>
      <c r="F122" s="1651">
        <v>1200</v>
      </c>
      <c r="G122" s="1651">
        <v>1200</v>
      </c>
      <c r="H122" s="1651">
        <v>1200</v>
      </c>
      <c r="I122" s="1651">
        <v>1200</v>
      </c>
      <c r="J122" s="1651">
        <v>1200</v>
      </c>
      <c r="K122" s="1652"/>
      <c r="L122" s="1653"/>
    </row>
    <row r="123" spans="1:12" ht="25.5" hidden="1">
      <c r="A123" s="1643" t="s">
        <v>2345</v>
      </c>
      <c r="B123" s="1650">
        <v>0.1</v>
      </c>
      <c r="C123" s="1581">
        <f t="shared" ref="C123:C128" si="25">SUM(D123:L123)</f>
        <v>0</v>
      </c>
      <c r="D123" s="1651">
        <f t="shared" ref="D123:J123" si="26">IF((D$114-1000)&gt;0,MIN((D$114-1000),(D122-1000))*$B123,0)</f>
        <v>0</v>
      </c>
      <c r="E123" s="1651">
        <f t="shared" si="26"/>
        <v>0</v>
      </c>
      <c r="F123" s="1651">
        <f t="shared" si="26"/>
        <v>0</v>
      </c>
      <c r="G123" s="1651">
        <f t="shared" si="26"/>
        <v>0</v>
      </c>
      <c r="H123" s="1651">
        <f t="shared" si="26"/>
        <v>0</v>
      </c>
      <c r="I123" s="1651">
        <f t="shared" si="26"/>
        <v>0</v>
      </c>
      <c r="J123" s="1651">
        <f t="shared" si="26"/>
        <v>0</v>
      </c>
      <c r="K123" s="1652"/>
      <c r="L123" s="1653"/>
    </row>
    <row r="124" spans="1:12" ht="25.5" hidden="1">
      <c r="A124" s="1643" t="s">
        <v>2346</v>
      </c>
      <c r="B124" s="1643"/>
      <c r="C124" s="1581">
        <f t="shared" si="25"/>
        <v>0</v>
      </c>
      <c r="D124" s="1651">
        <f t="shared" ref="D124:J124" si="27">D70</f>
        <v>0</v>
      </c>
      <c r="E124" s="1651">
        <f t="shared" si="27"/>
        <v>0</v>
      </c>
      <c r="F124" s="1651">
        <f t="shared" si="27"/>
        <v>0</v>
      </c>
      <c r="G124" s="1651">
        <f t="shared" si="27"/>
        <v>0</v>
      </c>
      <c r="H124" s="1651">
        <f t="shared" si="27"/>
        <v>0</v>
      </c>
      <c r="I124" s="1651">
        <f t="shared" si="27"/>
        <v>0</v>
      </c>
      <c r="J124" s="1651">
        <f t="shared" si="27"/>
        <v>0</v>
      </c>
      <c r="K124" s="1652"/>
      <c r="L124" s="1653"/>
    </row>
    <row r="125" spans="1:12" ht="25.5" hidden="1">
      <c r="A125" s="1643" t="s">
        <v>2347</v>
      </c>
      <c r="B125" s="1650"/>
      <c r="C125" s="1581">
        <f t="shared" si="25"/>
        <v>0</v>
      </c>
      <c r="D125" s="1651">
        <f t="shared" ref="D125:J125" si="28">D78/12</f>
        <v>0</v>
      </c>
      <c r="E125" s="1651">
        <f t="shared" si="28"/>
        <v>0</v>
      </c>
      <c r="F125" s="1651">
        <f t="shared" si="28"/>
        <v>0</v>
      </c>
      <c r="G125" s="1651">
        <f t="shared" si="28"/>
        <v>0</v>
      </c>
      <c r="H125" s="1651">
        <f t="shared" si="28"/>
        <v>0</v>
      </c>
      <c r="I125" s="1651">
        <f t="shared" si="28"/>
        <v>0</v>
      </c>
      <c r="J125" s="1651">
        <f t="shared" si="28"/>
        <v>0</v>
      </c>
      <c r="K125" s="1652"/>
      <c r="L125" s="1653"/>
    </row>
    <row r="126" spans="1:12" hidden="1">
      <c r="A126" s="1643" t="s">
        <v>2348</v>
      </c>
      <c r="B126" s="1643"/>
      <c r="C126" s="1581">
        <f t="shared" si="25"/>
        <v>0</v>
      </c>
      <c r="D126" s="1651">
        <f t="shared" ref="D126:J126" si="29">D79+D87</f>
        <v>0</v>
      </c>
      <c r="E126" s="1651">
        <f t="shared" si="29"/>
        <v>0</v>
      </c>
      <c r="F126" s="1651">
        <f t="shared" si="29"/>
        <v>0</v>
      </c>
      <c r="G126" s="1651">
        <f t="shared" si="29"/>
        <v>0</v>
      </c>
      <c r="H126" s="1651">
        <f t="shared" si="29"/>
        <v>0</v>
      </c>
      <c r="I126" s="1651">
        <f t="shared" si="29"/>
        <v>0</v>
      </c>
      <c r="J126" s="1651">
        <f t="shared" si="29"/>
        <v>0</v>
      </c>
      <c r="K126" s="1652"/>
      <c r="L126" s="1653"/>
    </row>
    <row r="127" spans="1:12" hidden="1">
      <c r="A127" s="1643" t="s">
        <v>2349</v>
      </c>
      <c r="B127" s="1654">
        <f>COUNTIF(F22:L22,"Ja")</f>
        <v>5</v>
      </c>
      <c r="C127" s="1581">
        <f t="shared" si="25"/>
        <v>20</v>
      </c>
      <c r="D127" s="1651">
        <f>IF(D86&lt;&gt;"",MAX(((D114+D116)*(3-$B127*1.5)/100),5,0))</f>
        <v>5</v>
      </c>
      <c r="E127" s="1651">
        <f>IF(E86&lt;&gt;"",MAX(((E114+E116)*(3-$B127*1.5)/100),5,0))</f>
        <v>5</v>
      </c>
      <c r="F127" s="1651">
        <f>IF(F86&lt;&gt;"",MAX((F114+F116)*3/100,5),0)</f>
        <v>5</v>
      </c>
      <c r="G127" s="1651">
        <f>IF(G86&lt;&gt;"",MAX((G114+G116)*3/100,5),0)</f>
        <v>5</v>
      </c>
      <c r="H127" s="1651">
        <f>IF(H86&lt;&gt;"",MAX((H114+H116)*3/100,5),0)</f>
        <v>0</v>
      </c>
      <c r="I127" s="1651">
        <f>IF(I86&lt;&gt;"",MAX((I114+I116)*3/100,5),0)</f>
        <v>0</v>
      </c>
      <c r="J127" s="1651">
        <f>IF(J86&lt;&gt;"",MAX((J114+J116)*3/100,5),0)</f>
        <v>0</v>
      </c>
      <c r="K127" s="1652"/>
      <c r="L127" s="1653"/>
    </row>
    <row r="128" spans="1:12" hidden="1">
      <c r="A128" s="1643" t="s">
        <v>2350</v>
      </c>
      <c r="B128" s="1643"/>
      <c r="C128" s="1581">
        <f t="shared" si="25"/>
        <v>0</v>
      </c>
      <c r="D128" s="1651">
        <f t="shared" ref="D128:J128" si="30">D82+D83</f>
        <v>0</v>
      </c>
      <c r="E128" s="1651">
        <f t="shared" si="30"/>
        <v>0</v>
      </c>
      <c r="F128" s="1651">
        <f t="shared" si="30"/>
        <v>0</v>
      </c>
      <c r="G128" s="1651">
        <f t="shared" si="30"/>
        <v>0</v>
      </c>
      <c r="H128" s="1651">
        <f t="shared" si="30"/>
        <v>0</v>
      </c>
      <c r="I128" s="1651">
        <f t="shared" si="30"/>
        <v>0</v>
      </c>
      <c r="J128" s="1651">
        <f t="shared" si="30"/>
        <v>0</v>
      </c>
      <c r="K128" s="1652"/>
      <c r="L128" s="1653"/>
    </row>
    <row r="129" spans="1:12" hidden="1">
      <c r="A129" s="1643" t="s">
        <v>2351</v>
      </c>
      <c r="B129" s="1643"/>
      <c r="C129" s="1655"/>
      <c r="D129" s="1651">
        <f>D81</f>
        <v>0</v>
      </c>
      <c r="E129" s="1651">
        <f>E81</f>
        <v>0</v>
      </c>
      <c r="F129" s="1656"/>
      <c r="G129" s="1656"/>
      <c r="H129" s="1656"/>
      <c r="I129" s="1656"/>
      <c r="J129" s="1656"/>
      <c r="K129" s="1657"/>
      <c r="L129" s="1658"/>
    </row>
    <row r="130" spans="1:12" hidden="1">
      <c r="A130" s="1643" t="s">
        <v>2352</v>
      </c>
      <c r="B130" s="1643"/>
      <c r="C130" s="1581">
        <f t="shared" ref="C130:C139" si="31">SUM(D130:L130)</f>
        <v>0</v>
      </c>
      <c r="D130" s="1651">
        <f t="shared" ref="D130:J130" si="32">IF(AND(D103&gt;0,SUM(D125:D128)&lt;D103),MIN(D103,100),0)</f>
        <v>0</v>
      </c>
      <c r="E130" s="1651">
        <f t="shared" si="32"/>
        <v>0</v>
      </c>
      <c r="F130" s="1651">
        <f t="shared" si="32"/>
        <v>0</v>
      </c>
      <c r="G130" s="1651">
        <f t="shared" si="32"/>
        <v>0</v>
      </c>
      <c r="H130" s="1651">
        <f t="shared" si="32"/>
        <v>0</v>
      </c>
      <c r="I130" s="1651">
        <f t="shared" si="32"/>
        <v>0</v>
      </c>
      <c r="J130" s="1651">
        <f t="shared" si="32"/>
        <v>0</v>
      </c>
      <c r="K130" s="1652"/>
      <c r="L130" s="1653"/>
    </row>
    <row r="131" spans="1:12" hidden="1">
      <c r="A131" s="1643" t="s">
        <v>2353</v>
      </c>
      <c r="B131" s="1643"/>
      <c r="C131" s="1581">
        <f t="shared" si="31"/>
        <v>20</v>
      </c>
      <c r="D131" s="1651">
        <f t="shared" ref="D131:J131" si="33">SUM(D70,D79:D83,D125,D127)</f>
        <v>5</v>
      </c>
      <c r="E131" s="1651">
        <f t="shared" si="33"/>
        <v>5</v>
      </c>
      <c r="F131" s="1651">
        <f t="shared" si="33"/>
        <v>5</v>
      </c>
      <c r="G131" s="1651">
        <f t="shared" si="33"/>
        <v>5</v>
      </c>
      <c r="H131" s="1651">
        <f t="shared" si="33"/>
        <v>0</v>
      </c>
      <c r="I131" s="1651">
        <f t="shared" si="33"/>
        <v>0</v>
      </c>
      <c r="J131" s="1651">
        <f t="shared" si="33"/>
        <v>0</v>
      </c>
      <c r="K131" s="1652"/>
      <c r="L131" s="1653"/>
    </row>
    <row r="132" spans="1:12" hidden="1">
      <c r="A132" s="1643" t="s">
        <v>2354</v>
      </c>
      <c r="B132" s="1643"/>
      <c r="C132" s="1581">
        <f t="shared" si="31"/>
        <v>0</v>
      </c>
      <c r="D132" s="1651">
        <f>IF(SUM(D125:D129)&lt;=D119,SUM(D125:D129),D119)</f>
        <v>0</v>
      </c>
      <c r="E132" s="1651">
        <f>IF(SUM(E125:E129)&lt;=E119,SUM(E125:E129),E119)</f>
        <v>0</v>
      </c>
      <c r="F132" s="1651">
        <f>IF(SUM(F125:F128)&lt;=F119,SUM(F125:F128),F119)</f>
        <v>0</v>
      </c>
      <c r="G132" s="1651">
        <f>IF(SUM(G125:G128)&lt;=G119,SUM(G125:G128),G119)</f>
        <v>0</v>
      </c>
      <c r="H132" s="1651">
        <f>IF(SUM(H125:H128)&lt;=H119,SUM(H125:H128),H119)</f>
        <v>0</v>
      </c>
      <c r="I132" s="1651">
        <f>IF(SUM(I125:I128)&lt;=I119,SUM(I125:I128),I119)</f>
        <v>0</v>
      </c>
      <c r="J132" s="1651">
        <f>IF(SUM(J125:J128)&lt;=J119,SUM(J125:J128),J119)</f>
        <v>0</v>
      </c>
      <c r="K132" s="1652"/>
      <c r="L132" s="1653"/>
    </row>
    <row r="133" spans="1:12" hidden="1">
      <c r="A133" s="1643" t="s">
        <v>2355</v>
      </c>
      <c r="B133" s="1643"/>
      <c r="C133" s="1581">
        <f t="shared" si="31"/>
        <v>20</v>
      </c>
      <c r="D133" s="1651">
        <f t="shared" ref="D133:J133" si="34">SUM(D126:D128)</f>
        <v>5</v>
      </c>
      <c r="E133" s="1651">
        <f t="shared" si="34"/>
        <v>5</v>
      </c>
      <c r="F133" s="1651">
        <f t="shared" si="34"/>
        <v>5</v>
      </c>
      <c r="G133" s="1651">
        <f t="shared" si="34"/>
        <v>5</v>
      </c>
      <c r="H133" s="1651">
        <f t="shared" si="34"/>
        <v>0</v>
      </c>
      <c r="I133" s="1651">
        <f t="shared" si="34"/>
        <v>0</v>
      </c>
      <c r="J133" s="1651">
        <f t="shared" si="34"/>
        <v>0</v>
      </c>
      <c r="K133" s="1652"/>
      <c r="L133" s="1653"/>
    </row>
    <row r="134" spans="1:12" ht="25.5" hidden="1">
      <c r="A134" s="1643" t="s">
        <v>2356</v>
      </c>
      <c r="B134" s="1643"/>
      <c r="C134" s="1581">
        <f t="shared" si="31"/>
        <v>20</v>
      </c>
      <c r="D134" s="1651">
        <f t="shared" ref="D134:J134" si="35">IF(D131&gt;D132,D131-(D132-D67))</f>
        <v>5</v>
      </c>
      <c r="E134" s="1651">
        <f t="shared" si="35"/>
        <v>5</v>
      </c>
      <c r="F134" s="1651">
        <f t="shared" si="35"/>
        <v>5</v>
      </c>
      <c r="G134" s="1651">
        <f t="shared" si="35"/>
        <v>5</v>
      </c>
      <c r="H134" s="1651" t="b">
        <f t="shared" si="35"/>
        <v>0</v>
      </c>
      <c r="I134" s="1651" t="b">
        <f t="shared" si="35"/>
        <v>0</v>
      </c>
      <c r="J134" s="1651" t="b">
        <f t="shared" si="35"/>
        <v>0</v>
      </c>
      <c r="K134" s="1652"/>
      <c r="L134" s="1653"/>
    </row>
    <row r="135" spans="1:12" hidden="1">
      <c r="A135" s="1643" t="s">
        <v>2357</v>
      </c>
      <c r="B135" s="1643"/>
      <c r="C135" s="1581">
        <f t="shared" si="31"/>
        <v>0</v>
      </c>
      <c r="D135" s="1651">
        <f t="shared" ref="D135:J135" si="36">IF(AND(D114&gt;400,(D132)&gt;100),D132,MAX(D119,D130))</f>
        <v>0</v>
      </c>
      <c r="E135" s="1651">
        <f t="shared" si="36"/>
        <v>0</v>
      </c>
      <c r="F135" s="1651">
        <f t="shared" si="36"/>
        <v>0</v>
      </c>
      <c r="G135" s="1651">
        <f t="shared" si="36"/>
        <v>0</v>
      </c>
      <c r="H135" s="1651">
        <f t="shared" si="36"/>
        <v>0</v>
      </c>
      <c r="I135" s="1651">
        <f t="shared" si="36"/>
        <v>0</v>
      </c>
      <c r="J135" s="1651">
        <f t="shared" si="36"/>
        <v>0</v>
      </c>
      <c r="K135" s="1652"/>
      <c r="L135" s="1653"/>
    </row>
    <row r="136" spans="1:12">
      <c r="A136" s="1659" t="s">
        <v>2358</v>
      </c>
      <c r="B136" s="1659"/>
      <c r="C136" s="1611">
        <f t="shared" si="31"/>
        <v>0</v>
      </c>
      <c r="D136" s="1660">
        <f>Berechnung!C70-Berechnung!C122+Berechnung!C138</f>
        <v>0</v>
      </c>
      <c r="E136" s="1660">
        <f>Berechnung!D70-Berechnung!D122</f>
        <v>0</v>
      </c>
      <c r="F136" s="1660">
        <f>Berechnung!E70-Berechnung!E122</f>
        <v>0</v>
      </c>
      <c r="G136" s="1660">
        <f>Berechnung!F70-Berechnung!F122</f>
        <v>0</v>
      </c>
      <c r="H136" s="1660">
        <f>Berechnung!G70-Berechnung!G122</f>
        <v>0</v>
      </c>
      <c r="I136" s="1660">
        <f>Berechnung!H70-Berechnung!H122</f>
        <v>0</v>
      </c>
      <c r="J136" s="1660">
        <f>Berechnung!I70-Berechnung!I122</f>
        <v>0</v>
      </c>
      <c r="K136" s="1661"/>
      <c r="L136" s="1662"/>
    </row>
    <row r="137" spans="1:12" hidden="1">
      <c r="A137" s="1581" t="s">
        <v>2359</v>
      </c>
      <c r="B137" s="1581"/>
      <c r="C137" s="1581">
        <f t="shared" si="31"/>
        <v>0</v>
      </c>
      <c r="D137" s="1581">
        <f t="shared" ref="D137:J137" si="37">D115+D116-D136</f>
        <v>0</v>
      </c>
      <c r="E137" s="1581">
        <f t="shared" si="37"/>
        <v>0</v>
      </c>
      <c r="F137" s="1581">
        <f t="shared" si="37"/>
        <v>0</v>
      </c>
      <c r="G137" s="1581">
        <f t="shared" si="37"/>
        <v>0</v>
      </c>
      <c r="H137" s="1581">
        <f t="shared" si="37"/>
        <v>0</v>
      </c>
      <c r="I137" s="1581">
        <f t="shared" si="37"/>
        <v>0</v>
      </c>
      <c r="J137" s="1581">
        <f t="shared" si="37"/>
        <v>0</v>
      </c>
      <c r="K137" s="1663"/>
      <c r="L137" s="1664"/>
    </row>
    <row r="138" spans="1:12" hidden="1">
      <c r="A138" s="1665" t="s">
        <v>2360</v>
      </c>
      <c r="B138" s="1665"/>
      <c r="C138" s="1581">
        <f t="shared" si="31"/>
        <v>416</v>
      </c>
      <c r="D138" s="1581">
        <f t="shared" ref="D138:J138" si="38">D139-D137</f>
        <v>416</v>
      </c>
      <c r="E138" s="1581">
        <f t="shared" si="38"/>
        <v>0</v>
      </c>
      <c r="F138" s="1581">
        <f t="shared" si="38"/>
        <v>0</v>
      </c>
      <c r="G138" s="1581">
        <f t="shared" si="38"/>
        <v>0</v>
      </c>
      <c r="H138" s="1581">
        <f t="shared" si="38"/>
        <v>0</v>
      </c>
      <c r="I138" s="1581">
        <f t="shared" si="38"/>
        <v>0</v>
      </c>
      <c r="J138" s="1581">
        <f t="shared" si="38"/>
        <v>0</v>
      </c>
      <c r="K138" s="1663"/>
      <c r="L138" s="1664"/>
    </row>
    <row r="139" spans="1:12" hidden="1">
      <c r="A139" s="1581" t="s">
        <v>0</v>
      </c>
      <c r="B139" s="1581"/>
      <c r="C139" s="1581">
        <f t="shared" si="31"/>
        <v>416</v>
      </c>
      <c r="D139" s="1581">
        <f t="shared" ref="D139:J139" si="39">D60</f>
        <v>416</v>
      </c>
      <c r="E139" s="1581">
        <f t="shared" si="39"/>
        <v>0</v>
      </c>
      <c r="F139" s="1581">
        <f t="shared" si="39"/>
        <v>0</v>
      </c>
      <c r="G139" s="1581">
        <f t="shared" si="39"/>
        <v>0</v>
      </c>
      <c r="H139" s="1581">
        <f t="shared" si="39"/>
        <v>0</v>
      </c>
      <c r="I139" s="1581">
        <f t="shared" si="39"/>
        <v>0</v>
      </c>
      <c r="J139" s="1581">
        <f t="shared" si="39"/>
        <v>0</v>
      </c>
      <c r="K139" s="1663"/>
      <c r="L139" s="1664"/>
    </row>
    <row r="140" spans="1:12" hidden="1">
      <c r="A140" s="1666" t="s">
        <v>2335</v>
      </c>
      <c r="B140" s="1666"/>
      <c r="C140" s="1581"/>
      <c r="D140" s="1666"/>
      <c r="E140" s="1666"/>
      <c r="F140" s="1666" t="b">
        <f>IF(F138&lt;0,MIN(F138*-1,F97))</f>
        <v>0</v>
      </c>
      <c r="G140" s="1666" t="b">
        <f>IF(G138&lt;0,MIN(G138*-1,G97))</f>
        <v>0</v>
      </c>
      <c r="H140" s="1666" t="b">
        <f>IF(H138&lt;0,MIN(H138*-1,H97))</f>
        <v>0</v>
      </c>
      <c r="I140" s="1666" t="b">
        <f>IF(I138&lt;0,MIN(I138*-1,I97))</f>
        <v>0</v>
      </c>
      <c r="J140" s="1666" t="b">
        <f>IF(J138&lt;0,MIN(J138*-1,J97))</f>
        <v>0</v>
      </c>
      <c r="K140" s="1663"/>
      <c r="L140" s="1664"/>
    </row>
    <row r="141" spans="1:12" hidden="1">
      <c r="A141" s="1667"/>
      <c r="B141" s="1667"/>
      <c r="C141" s="1581">
        <f>SUM(F140:L140)</f>
        <v>0</v>
      </c>
      <c r="D141" s="1668"/>
      <c r="E141" s="1668"/>
      <c r="F141" s="1668"/>
      <c r="G141" s="1668"/>
      <c r="H141" s="1668"/>
      <c r="I141" s="1668"/>
      <c r="J141" s="1668"/>
      <c r="K141" s="1663"/>
      <c r="L141" s="1664"/>
    </row>
    <row r="142" spans="1:12">
      <c r="A142" s="1669"/>
      <c r="B142" s="1669"/>
      <c r="C142" s="1669"/>
      <c r="D142" s="1669"/>
      <c r="E142" s="1669"/>
      <c r="F142" s="1669"/>
      <c r="G142" s="1669"/>
      <c r="H142" s="1669"/>
      <c r="I142" s="1669"/>
      <c r="J142" s="1670"/>
      <c r="K142" s="1663"/>
      <c r="L142" s="1664"/>
    </row>
    <row r="143" spans="1:12">
      <c r="A143" s="1910" t="str">
        <f>IF(C143&lt;&gt;"","anerkannte Beiträge zur Riesterrente","")</f>
        <v>anerkannte Beiträge zur Riesterrente</v>
      </c>
      <c r="B143" s="1669"/>
      <c r="C143" s="1611">
        <f t="shared" ref="C143" si="40">SUM(D143:L143)</f>
        <v>0</v>
      </c>
      <c r="D143" s="1669">
        <f>Berechnung!C92</f>
        <v>0</v>
      </c>
      <c r="E143" s="1669">
        <f>Berechnung!D92</f>
        <v>0</v>
      </c>
      <c r="F143" s="1669">
        <f>Berechnung!E92</f>
        <v>0</v>
      </c>
      <c r="G143" s="1669">
        <f>Berechnung!F92</f>
        <v>0</v>
      </c>
      <c r="H143" s="1669">
        <f>Berechnung!G92</f>
        <v>0</v>
      </c>
      <c r="I143" s="1669">
        <f>Berechnung!H92</f>
        <v>0</v>
      </c>
      <c r="J143" s="1669">
        <f>Berechnung!I92</f>
        <v>0</v>
      </c>
      <c r="K143" s="1663"/>
      <c r="L143" s="1664"/>
    </row>
    <row r="144" spans="1:12" ht="27" customHeight="1">
      <c r="A144" s="1947" t="s">
        <v>2361</v>
      </c>
      <c r="B144" s="1948"/>
      <c r="C144" s="1671">
        <f>SUM(D144:L144)</f>
        <v>0</v>
      </c>
      <c r="D144" s="1672">
        <f>IF(D65&gt;0,Berechnung!C117,0)</f>
        <v>0</v>
      </c>
      <c r="E144" s="1672">
        <f>IF(E65&gt;0,Berechnung!D117,0)</f>
        <v>0</v>
      </c>
      <c r="F144" s="1672">
        <f>IF(F65&gt;0,Berechnung!E117,0)</f>
        <v>0</v>
      </c>
      <c r="G144" s="1672">
        <f>IF(G65&gt;0,Berechnung!F117,0)</f>
        <v>0</v>
      </c>
      <c r="H144" s="1672">
        <f>IF(H65&gt;0,Berechnung!G117,0)</f>
        <v>0</v>
      </c>
      <c r="I144" s="1672">
        <f>IF(I65&gt;0,Berechnung!H117,0)</f>
        <v>0</v>
      </c>
      <c r="J144" s="1672">
        <f>IF(J65&gt;0,Berechnung!I117,0)</f>
        <v>0</v>
      </c>
      <c r="K144" s="1566"/>
      <c r="L144" s="1567"/>
    </row>
    <row r="145" spans="1:12">
      <c r="A145" s="1673"/>
      <c r="B145" s="1673"/>
      <c r="C145" s="1673"/>
      <c r="D145" s="1673"/>
      <c r="E145" s="1673"/>
      <c r="F145" s="1673"/>
      <c r="G145" s="1673"/>
      <c r="H145" s="1673"/>
      <c r="I145" s="1673"/>
      <c r="J145" s="1674"/>
      <c r="K145" s="1675"/>
      <c r="L145" s="1676"/>
    </row>
    <row r="146" spans="1:12">
      <c r="A146" s="1914" t="str">
        <f t="shared" ref="A146:J146" si="41">A41</f>
        <v>Gesamtbedarf (nur Regelbedarf)</v>
      </c>
      <c r="B146" s="1914"/>
      <c r="C146" s="1914">
        <f t="shared" si="41"/>
        <v>416</v>
      </c>
      <c r="D146" s="1914">
        <f t="shared" si="41"/>
        <v>416</v>
      </c>
      <c r="E146" s="1914">
        <f t="shared" si="41"/>
        <v>0</v>
      </c>
      <c r="F146" s="1914">
        <f t="shared" si="41"/>
        <v>0</v>
      </c>
      <c r="G146" s="1914">
        <f t="shared" si="41"/>
        <v>0</v>
      </c>
      <c r="H146" s="1914">
        <f t="shared" si="41"/>
        <v>0</v>
      </c>
      <c r="I146" s="1914">
        <f t="shared" si="41"/>
        <v>0</v>
      </c>
      <c r="J146" s="1915">
        <f t="shared" si="41"/>
        <v>0</v>
      </c>
      <c r="K146" s="1675"/>
      <c r="L146" s="1676"/>
    </row>
    <row r="147" spans="1:12">
      <c r="A147" s="1914" t="str">
        <f t="shared" ref="A147:J147" si="42">A59</f>
        <v>Gesamtbedarf KdU (anerkannt)</v>
      </c>
      <c r="B147" s="1914"/>
      <c r="C147" s="1914">
        <f t="shared" si="42"/>
        <v>0</v>
      </c>
      <c r="D147" s="1914">
        <f t="shared" si="42"/>
        <v>0</v>
      </c>
      <c r="E147" s="1914">
        <f t="shared" si="42"/>
        <v>0</v>
      </c>
      <c r="F147" s="1914">
        <f t="shared" si="42"/>
        <v>0</v>
      </c>
      <c r="G147" s="1914">
        <f t="shared" si="42"/>
        <v>0</v>
      </c>
      <c r="H147" s="1914">
        <f t="shared" si="42"/>
        <v>0</v>
      </c>
      <c r="I147" s="1914">
        <f t="shared" si="42"/>
        <v>0</v>
      </c>
      <c r="J147" s="1915">
        <f t="shared" si="42"/>
        <v>0</v>
      </c>
      <c r="K147" s="1675"/>
      <c r="L147" s="1676"/>
    </row>
    <row r="148" spans="1:12">
      <c r="A148" s="1914" t="str">
        <f t="shared" ref="A148:J148" si="43">A60</f>
        <v>Gesamtbedarfssumme</v>
      </c>
      <c r="B148" s="1914"/>
      <c r="C148" s="1914">
        <f t="shared" si="43"/>
        <v>416</v>
      </c>
      <c r="D148" s="1914">
        <f t="shared" si="43"/>
        <v>416</v>
      </c>
      <c r="E148" s="1914">
        <f t="shared" si="43"/>
        <v>0</v>
      </c>
      <c r="F148" s="1914">
        <f t="shared" si="43"/>
        <v>0</v>
      </c>
      <c r="G148" s="1914">
        <f t="shared" si="43"/>
        <v>0</v>
      </c>
      <c r="H148" s="1914">
        <f t="shared" si="43"/>
        <v>0</v>
      </c>
      <c r="I148" s="1914">
        <f t="shared" si="43"/>
        <v>0</v>
      </c>
      <c r="J148" s="1915">
        <f t="shared" si="43"/>
        <v>0</v>
      </c>
      <c r="K148" s="1675"/>
      <c r="L148" s="1676"/>
    </row>
    <row r="149" spans="1:12" ht="15">
      <c r="A149" s="1573" t="s">
        <v>2362</v>
      </c>
      <c r="B149" s="1677"/>
      <c r="C149" s="1573">
        <f>SUM(D149:L149)</f>
        <v>0</v>
      </c>
      <c r="D149" s="1565">
        <f>Berechnung!C122</f>
        <v>0</v>
      </c>
      <c r="E149" s="1565">
        <f>Berechnung!D122</f>
        <v>0</v>
      </c>
      <c r="F149" s="1565">
        <f>Berechnung!E122</f>
        <v>0</v>
      </c>
      <c r="G149" s="1565">
        <f>Berechnung!F122</f>
        <v>0</v>
      </c>
      <c r="H149" s="1565">
        <f>Berechnung!G122</f>
        <v>0</v>
      </c>
      <c r="I149" s="1565">
        <f>Berechnung!H122</f>
        <v>0</v>
      </c>
      <c r="J149" s="1565">
        <f>Berechnung!I122</f>
        <v>0</v>
      </c>
      <c r="K149" s="1566"/>
      <c r="L149" s="1567"/>
    </row>
    <row r="150" spans="1:12">
      <c r="A150" s="1673" t="s">
        <v>2364</v>
      </c>
      <c r="B150" s="1673"/>
      <c r="C150" s="1573">
        <f>SUM(D150:L150)</f>
        <v>0</v>
      </c>
      <c r="D150" s="1673" t="s">
        <v>2364</v>
      </c>
      <c r="E150" s="1673" t="s">
        <v>2364</v>
      </c>
      <c r="F150" s="1673" t="s">
        <v>2364</v>
      </c>
      <c r="G150" s="1673" t="s">
        <v>2364</v>
      </c>
      <c r="H150" s="1673" t="s">
        <v>2364</v>
      </c>
      <c r="I150" s="1673" t="s">
        <v>2364</v>
      </c>
      <c r="J150" s="1673" t="s">
        <v>2364</v>
      </c>
      <c r="K150" s="1675"/>
      <c r="L150" s="1676"/>
    </row>
    <row r="151" spans="1:12" ht="15.75" customHeight="1">
      <c r="A151" s="1564" t="str">
        <f>IF(SUM(D151:L151)&lt;0,"Kein ALG II Anspruch, Bedarfsüberdeckung von","Zahlbetrag mit vollen Freibeträgen")</f>
        <v>Zahlbetrag mit vollen Freibeträgen</v>
      </c>
      <c r="B151" s="1564"/>
      <c r="C151" s="1573">
        <f>SUM(D151:L151)</f>
        <v>416</v>
      </c>
      <c r="D151" s="1590">
        <f>Berechnung!C161</f>
        <v>416</v>
      </c>
      <c r="E151" s="1590">
        <f>Berechnung!D161</f>
        <v>0</v>
      </c>
      <c r="F151" s="1590">
        <f>Berechnung!E161</f>
        <v>0</v>
      </c>
      <c r="G151" s="1590">
        <f>Berechnung!F161</f>
        <v>0</v>
      </c>
      <c r="H151" s="1590">
        <f>Berechnung!G161</f>
        <v>0</v>
      </c>
      <c r="I151" s="1590">
        <f>Berechnung!H161</f>
        <v>0</v>
      </c>
      <c r="J151" s="1590">
        <f>Berechnung!I161</f>
        <v>0</v>
      </c>
      <c r="K151" s="1566"/>
      <c r="L151" s="1567"/>
    </row>
    <row r="152" spans="1:12" ht="50.25" hidden="1" customHeight="1">
      <c r="A152" s="1678" t="str">
        <f>IF(AND(C151&lt;=0,C152&gt;0),"Es besteht vermutlich ein Anspruch auf Zuschuss zum Kranken- und Pflegekassenbeitrag in Höhe von ca."&amp;CHAR(10)&amp; "beim JobCentetr Antrag nach § 26 SGB II stellen","")</f>
        <v/>
      </c>
      <c r="B152" s="1679" t="str">
        <f>IF(AND(C151&lt;=0,C152&gt;0),"→→→","")</f>
        <v/>
      </c>
      <c r="C152" s="1680">
        <f>IF(C151&lt;=0,MAX(SUM(Berechnung!AG37),SUM(Berechnung!AG53+Berechnung!AG59)),0)</f>
        <v>0</v>
      </c>
      <c r="D152" s="1590"/>
      <c r="E152" s="1590"/>
      <c r="F152" s="1590"/>
      <c r="G152" s="1590"/>
      <c r="H152" s="1590"/>
      <c r="I152" s="1590"/>
      <c r="J152" s="1590"/>
      <c r="K152" s="1566"/>
      <c r="L152" s="1567"/>
    </row>
    <row r="153" spans="1:12">
      <c r="A153" s="1564" t="str">
        <f>IF(AND(C144&gt;0,C151&gt;0),"Zahlbetrag ohne Berücksichtigung der Freibeträge","")</f>
        <v/>
      </c>
      <c r="B153" s="1564"/>
      <c r="C153" s="1681" t="str">
        <f>IF(A153&lt;&gt;"",C151-C144,"")</f>
        <v/>
      </c>
      <c r="D153" s="1605"/>
      <c r="E153" s="1605"/>
      <c r="F153" s="1605"/>
      <c r="G153" s="1605"/>
      <c r="H153" s="1605"/>
      <c r="I153" s="1605"/>
      <c r="J153" s="1605"/>
      <c r="K153" s="1603"/>
      <c r="L153" s="1604"/>
    </row>
    <row r="154" spans="1:12">
      <c r="A154" s="1682"/>
      <c r="B154" s="1534"/>
      <c r="C154" s="1683"/>
      <c r="D154" s="1534"/>
      <c r="E154" s="1534"/>
      <c r="F154" s="1534"/>
      <c r="G154" s="1534"/>
      <c r="H154" s="1534"/>
      <c r="I154" s="1534"/>
      <c r="J154" s="1534"/>
      <c r="K154" s="1534"/>
      <c r="L154" s="1534"/>
    </row>
    <row r="155" spans="1:12">
      <c r="A155" s="1684" t="str">
        <f>IF(AND(C97&gt;0,H13&lt;2016),"→→→ Die Rechnung ist fehlerhaft, bitte korrigieren Sie das Kindergeld in Zeile 67 manuell","Dieser Berechnungsbogen ist nur eine Näherungstabelle, deshalb wird für die Richtigkeit keine Haftung übernommen.")</f>
        <v>Dieser Berechnungsbogen ist nur eine Näherungstabelle, deshalb wird für die Richtigkeit keine Haftung übernommen.</v>
      </c>
      <c r="B155" s="1685"/>
      <c r="C155" s="1534"/>
      <c r="D155" s="1534"/>
      <c r="E155" s="1534"/>
      <c r="F155" s="1534"/>
      <c r="G155" s="1534"/>
      <c r="H155" s="1534"/>
      <c r="I155" s="1534"/>
      <c r="J155" s="1534"/>
      <c r="K155" s="1534"/>
      <c r="L155" s="1534"/>
    </row>
    <row r="156" spans="1:12">
      <c r="A156" s="1949" t="str">
        <f>IF(C141&gt;0,"In Ihrem Fall liegt ein sog. Kindergeldüberhang vor. Dabei werden Fakten berücksichtigt, die hier im Rechner nicht abgefragt werden können. Daher kann der Zahlbetrag hier leider falsch sein, sowohl etwas zu hoch als auch etwas zu niedrig.","")</f>
        <v/>
      </c>
      <c r="B156" s="1949"/>
      <c r="C156" s="1949"/>
      <c r="D156" s="1949"/>
      <c r="E156" s="1949"/>
      <c r="F156" s="1949"/>
      <c r="G156" s="1949"/>
      <c r="H156" s="1949"/>
      <c r="I156" s="1949"/>
      <c r="J156" s="1949"/>
      <c r="K156" s="1911"/>
      <c r="L156" s="1911"/>
    </row>
    <row r="157" spans="1:12">
      <c r="A157" s="1949" t="str">
        <f>IF(COUNTIF(F151:L151,"&lt;0")&gt;0,"Mindestens eines der Kinder deckt seinen Bedarf selbst. Lassen Sie sich hierzu beraten, und prüfen Sie, ob u.U. Wohngeld für das Kind geantragt werden kann","")</f>
        <v/>
      </c>
      <c r="B157" s="1949"/>
      <c r="C157" s="1949"/>
      <c r="D157" s="1949"/>
      <c r="E157" s="1949"/>
      <c r="F157" s="1949"/>
      <c r="G157" s="1949"/>
      <c r="H157" s="1949"/>
      <c r="I157" s="1949"/>
      <c r="J157" s="1949"/>
      <c r="K157" s="1911"/>
      <c r="L157" s="1911"/>
    </row>
    <row r="158" spans="1:12">
      <c r="A158" s="1686" t="str">
        <f>IF(COUNTIF(D149:L149,"&lt;0")&gt;0,"In Zeile 109 wird ein negatives Einkommen gezeigt und eingerechnet. Dies ist notwendig, um einen korrekten Zahlbetrag zu errechnen","")</f>
        <v/>
      </c>
      <c r="B158" s="1686"/>
      <c r="C158" s="1686"/>
      <c r="D158" s="1686"/>
      <c r="E158" s="1686"/>
      <c r="F158" s="1686"/>
      <c r="G158" s="1836"/>
      <c r="H158" s="1686"/>
      <c r="I158" s="1686"/>
      <c r="J158" s="1686"/>
      <c r="K158" s="1686"/>
      <c r="L158" s="1686"/>
    </row>
    <row r="159" spans="1:12" ht="19.5" customHeight="1">
      <c r="A159" s="1954" t="s">
        <v>2373</v>
      </c>
      <c r="B159" s="1956">
        <f>C151</f>
        <v>416</v>
      </c>
      <c r="D159" s="1958" t="s">
        <v>269</v>
      </c>
      <c r="E159" s="1959"/>
      <c r="F159" s="1837"/>
      <c r="G159" s="1962" t="str">
        <f>IF(AND(Zusatzeingaben!C241&lt;=0,Zusatzeingaben!C238&gt;Zusatzeingaben!C235),"Wohngeld beantragen!",IF(AND(Zusatzeingaben!C238&lt;=0,Zusatzeingaben!C241&gt;Zusatzeingaben!C235),"Kinderzuschlag beantragen!",IF(Zusatzeingaben!C238+Zusatzeingaben!C241&gt;Zusatzeingaben!C235,"Wohngeld und Kinderzuschlag beantragen!","")))</f>
        <v/>
      </c>
      <c r="H159" s="1962"/>
      <c r="I159" s="1962"/>
      <c r="J159" s="1962"/>
      <c r="K159" s="1818"/>
      <c r="L159" s="1818"/>
    </row>
    <row r="160" spans="1:12" ht="12.75" customHeight="1">
      <c r="A160" s="1955"/>
      <c r="B160" s="1957"/>
      <c r="D160" s="1960"/>
      <c r="E160" s="1961"/>
      <c r="F160" s="1837"/>
      <c r="G160" s="1962"/>
      <c r="H160" s="1962"/>
      <c r="I160" s="1962"/>
      <c r="J160" s="1962"/>
      <c r="K160" s="1818"/>
      <c r="L160" s="1818"/>
    </row>
    <row r="161" spans="1:12" ht="12.75" customHeight="1">
      <c r="A161" s="1818"/>
      <c r="B161" s="1818"/>
      <c r="C161" s="1818"/>
      <c r="D161" s="1818"/>
      <c r="E161" s="1818"/>
      <c r="F161" s="1818"/>
      <c r="G161" s="1962"/>
      <c r="H161" s="1962"/>
      <c r="I161" s="1962"/>
      <c r="J161" s="1962"/>
      <c r="K161" s="1818"/>
      <c r="L161" s="1818"/>
    </row>
    <row r="162" spans="1:12" ht="19.899999999999999" customHeight="1">
      <c r="A162" s="1764" t="str">
        <f>Zusatzeingaben!A238</f>
        <v>Möglicher Anspruch auf Wohngeld in Höhe von                 (ggf. sind nachfolgend weitere Daten zu erfassen!)</v>
      </c>
      <c r="B162" s="2031" t="str">
        <f>Zusatzeingaben!B238</f>
        <v>0,00 €</v>
      </c>
      <c r="C162" s="1534"/>
      <c r="D162" s="2033" t="s">
        <v>269</v>
      </c>
      <c r="E162" s="2034"/>
      <c r="F162" s="1838"/>
      <c r="G162" s="1839"/>
      <c r="H162" s="1839"/>
      <c r="I162" s="1839"/>
      <c r="J162" s="1839"/>
      <c r="K162" s="1839"/>
      <c r="L162" s="1688"/>
    </row>
    <row r="163" spans="1:12" ht="38.25" customHeight="1">
      <c r="A163" s="1850" t="s">
        <v>2370</v>
      </c>
      <c r="B163" s="2032"/>
      <c r="D163" s="2035"/>
      <c r="E163" s="2036"/>
      <c r="F163" s="1838"/>
      <c r="G163" s="1963" t="s">
        <v>2375</v>
      </c>
      <c r="H163" s="1963"/>
      <c r="I163" s="1963"/>
      <c r="J163" s="1894" t="b">
        <v>0</v>
      </c>
      <c r="K163" s="1839"/>
    </row>
    <row r="165" spans="1:12" ht="15" customHeight="1">
      <c r="A165" s="2037" t="s">
        <v>2271</v>
      </c>
      <c r="B165" s="2039" t="str">
        <f>Berechnung!V37</f>
        <v>0,00 €</v>
      </c>
      <c r="D165" s="2041" t="s">
        <v>269</v>
      </c>
      <c r="E165" s="2042"/>
      <c r="F165" s="1950" t="str">
        <f ca="1">IF(AND(H13&gt;42916,MAX(E21:J21)&gt;11),"UVG-Anspruch für Kinder ab  12 Jahren prüfen","")</f>
        <v/>
      </c>
      <c r="G165" s="1951"/>
      <c r="H165" s="1951"/>
      <c r="I165" s="1951"/>
      <c r="J165" s="1951"/>
      <c r="K165" s="1854"/>
      <c r="L165" s="1854"/>
    </row>
    <row r="166" spans="1:12" ht="16.5" customHeight="1">
      <c r="A166" s="2038"/>
      <c r="B166" s="2040"/>
      <c r="D166" s="2043"/>
      <c r="E166" s="2044"/>
      <c r="F166" s="1950"/>
      <c r="G166" s="1951"/>
      <c r="H166" s="1951"/>
      <c r="I166" s="1951"/>
      <c r="J166" s="1951"/>
      <c r="K166" s="1854"/>
      <c r="L166" s="1854"/>
    </row>
    <row r="168" spans="1:12">
      <c r="A168" s="2023" t="s">
        <v>2371</v>
      </c>
      <c r="B168" s="2025">
        <f>C152</f>
        <v>0</v>
      </c>
      <c r="D168" s="2027" t="s">
        <v>269</v>
      </c>
      <c r="E168" s="2028"/>
    </row>
    <row r="169" spans="1:12" ht="18.600000000000001" customHeight="1">
      <c r="A169" s="2024"/>
      <c r="B169" s="2026"/>
      <c r="D169" s="2029"/>
      <c r="E169" s="2030"/>
    </row>
    <row r="175" spans="1:12">
      <c r="A175" s="1687" t="s">
        <v>2363</v>
      </c>
    </row>
  </sheetData>
  <sheetProtection sheet="1" objects="1" scenarios="1"/>
  <mergeCells count="50">
    <mergeCell ref="A168:A169"/>
    <mergeCell ref="B168:B169"/>
    <mergeCell ref="D168:E169"/>
    <mergeCell ref="B162:B163"/>
    <mergeCell ref="D162:E163"/>
    <mergeCell ref="A165:A166"/>
    <mergeCell ref="B165:B166"/>
    <mergeCell ref="D165:E166"/>
    <mergeCell ref="F19:J19"/>
    <mergeCell ref="B45:C45"/>
    <mergeCell ref="B46:C46"/>
    <mergeCell ref="D46:E46"/>
    <mergeCell ref="B21:C21"/>
    <mergeCell ref="B43:C43"/>
    <mergeCell ref="A54:B54"/>
    <mergeCell ref="A76:B76"/>
    <mergeCell ref="H7:L7"/>
    <mergeCell ref="A1:J1"/>
    <mergeCell ref="A2:J2"/>
    <mergeCell ref="A3:G4"/>
    <mergeCell ref="H3:J4"/>
    <mergeCell ref="H6:L6"/>
    <mergeCell ref="H8:L8"/>
    <mergeCell ref="H9:L9"/>
    <mergeCell ref="E10:G13"/>
    <mergeCell ref="A15:E15"/>
    <mergeCell ref="F15:J15"/>
    <mergeCell ref="K15:L15"/>
    <mergeCell ref="A19:C19"/>
    <mergeCell ref="D19:E19"/>
    <mergeCell ref="D17:D18"/>
    <mergeCell ref="H13:J13"/>
    <mergeCell ref="D10:D13"/>
    <mergeCell ref="H10:J12"/>
    <mergeCell ref="A10:C13"/>
    <mergeCell ref="A16:B16"/>
    <mergeCell ref="A17:B18"/>
    <mergeCell ref="C17:C18"/>
    <mergeCell ref="F16:G16"/>
    <mergeCell ref="H16:I16"/>
    <mergeCell ref="A144:B144"/>
    <mergeCell ref="A156:J156"/>
    <mergeCell ref="A157:J157"/>
    <mergeCell ref="F165:J166"/>
    <mergeCell ref="B84:C84"/>
    <mergeCell ref="A159:A160"/>
    <mergeCell ref="B159:B160"/>
    <mergeCell ref="D159:E160"/>
    <mergeCell ref="G159:J161"/>
    <mergeCell ref="G163:I163"/>
  </mergeCells>
  <conditionalFormatting sqref="D43:L43 D19 A15 A19">
    <cfRule type="expression" dxfId="333" priority="71">
      <formula>NOT(ISERROR(SEARCH("Zahl",A15)))</formula>
    </cfRule>
  </conditionalFormatting>
  <conditionalFormatting sqref="C16 B43:C43">
    <cfRule type="expression" dxfId="332" priority="70">
      <formula>NOT(ISERROR(SEARCH("►",B16)))</formula>
    </cfRule>
  </conditionalFormatting>
  <conditionalFormatting sqref="B58:C58">
    <cfRule type="expression" dxfId="331" priority="20">
      <formula>$B$162&gt;0</formula>
    </cfRule>
  </conditionalFormatting>
  <conditionalFormatting sqref="C55">
    <cfRule type="expression" dxfId="330" priority="80">
      <formula>$C$54="Nein"</formula>
    </cfRule>
  </conditionalFormatting>
  <conditionalFormatting sqref="F162:F163 G162">
    <cfRule type="expression" dxfId="329" priority="15">
      <formula>$F$162&lt;&gt;""</formula>
    </cfRule>
  </conditionalFormatting>
  <conditionalFormatting sqref="G159 F159:F160">
    <cfRule type="expression" dxfId="328" priority="14">
      <formula>$F$159&lt;&gt;""</formula>
    </cfRule>
  </conditionalFormatting>
  <conditionalFormatting sqref="G159 G162">
    <cfRule type="expression" dxfId="327" priority="13">
      <formula>G159&lt;&gt;""</formula>
    </cfRule>
  </conditionalFormatting>
  <conditionalFormatting sqref="B162:B163">
    <cfRule type="expression" dxfId="326" priority="12">
      <formula>$J$163=FALSE</formula>
    </cfRule>
  </conditionalFormatting>
  <conditionalFormatting sqref="A163">
    <cfRule type="expression" dxfId="325" priority="9">
      <formula>$J$163=TRUE</formula>
    </cfRule>
  </conditionalFormatting>
  <conditionalFormatting sqref="D21">
    <cfRule type="expression" dxfId="324" priority="3">
      <formula>$D$20=""</formula>
    </cfRule>
  </conditionalFormatting>
  <conditionalFormatting sqref="E21">
    <cfRule type="expression" dxfId="323" priority="2">
      <formula>$E$20=""</formula>
    </cfRule>
  </conditionalFormatting>
  <dataValidations count="35">
    <dataValidation type="custom" operator="greaterThan" allowBlank="1" showErrorMessage="1" error="Datum muss in der Zukunft liegen" sqref="D33:J33">
      <formula1>D33&gt;D20</formula1>
    </dataValidation>
    <dataValidation type="custom" allowBlank="1" showInputMessage="1" showErrorMessage="1" errorTitle="Altersrente nicht möglich" error="Keine Altersrente möglich, Antragsteller ist zu jung" sqref="D104:J104">
      <formula1>D21&gt;=63</formula1>
    </dataValidation>
    <dataValidation type="date" allowBlank="1" showInputMessage="1" showErrorMessage="1" sqref="F20:J20">
      <formula1>D20</formula1>
      <formula2>TODAY()</formula2>
    </dataValidation>
    <dataValidation operator="equal" allowBlank="1" showErrorMessage="1" sqref="C16 D109:E110 D112:E112">
      <formula1>0</formula1>
      <formula2>0</formula2>
    </dataValidation>
    <dataValidation type="list" allowBlank="1" showInputMessage="1" showErrorMessage="1" sqref="D71:J71">
      <formula1>"Ja,Nein"</formula1>
      <formula2>0</formula2>
    </dataValidation>
    <dataValidation type="list" allowBlank="1" showErrorMessage="1" sqref="E111">
      <formula1>"Ja,Nein"</formula1>
      <formula2>0</formula2>
    </dataValidation>
    <dataValidation type="list" operator="equal" allowBlank="1" showErrorMessage="1" sqref="D111">
      <formula1>"Ja,Nein"</formula1>
      <formula2>0</formula2>
    </dataValidation>
    <dataValidation type="list" allowBlank="1" showErrorMessage="1" sqref="K76:L76">
      <formula1>"1.0,2.0,3.0,4.0,5.0,6.0,7.0,8.0,9.0,10.0,11.0,12.0,13.0,14.0,15.0,16.0,17.0,18.0,19.0,20.0,21.0,22.0,23.0,24.0,25.0,26.0,27.0,28.0,29.0,30.0"</formula1>
      <formula2>0</formula2>
    </dataValidation>
    <dataValidation type="list" allowBlank="1" showInputMessage="1" showErrorMessage="1" sqref="A105">
      <formula1>"Leistungen der Renten- und Krankenvers. (siehe Liste),Krankengeld,Verletztengeld,Mutterschaftsgeld,Übergangsgeld,Hinterbliebenenrente,Erwerbsminderungsrente"</formula1>
    </dataValidation>
    <dataValidation allowBlank="1" showInputMessage="1" showErrorMessage="1" errorTitle="Altersrente nicht möglich" error="Keine Altersrente möglich, Antragsteller ist zu jung" promptTitle="Art der Leistung" prompt="aus der Liste ausgewählt?" sqref="D105:J105"/>
    <dataValidation type="list" allowBlank="1" showInputMessage="1" showErrorMessage="1" sqref="C57">
      <formula1>"Garage,PKW-Stellplatz"</formula1>
    </dataValidation>
    <dataValidation type="whole" allowBlank="1" showErrorMessage="1" sqref="D76:J76">
      <formula1>0</formula1>
      <formula2>30</formula2>
    </dataValidation>
    <dataValidation type="list" operator="equal" showErrorMessage="1" sqref="C54">
      <formula1>"Ja,Nein"</formula1>
    </dataValidation>
    <dataValidation type="decimal" operator="greaterThanOrEqual" allowBlank="1" showErrorMessage="1" sqref="C55">
      <formula1>0</formula1>
      <formula2>0</formula2>
    </dataValidation>
    <dataValidation operator="equal" allowBlank="1" showErrorMessage="1" sqref="K31:L31"/>
    <dataValidation type="list" allowBlank="1" showErrorMessage="1" sqref="D35:J35">
      <formula1>"Ja"</formula1>
      <formula2>0</formula2>
    </dataValidation>
    <dataValidation type="date" operator="lessThan" allowBlank="1" showErrorMessage="1" sqref="D20:E20 K20:L20">
      <formula1>TODAY()</formula1>
      <formula2>0</formula2>
    </dataValidation>
    <dataValidation type="date" operator="greaterThan" allowBlank="1" showErrorMessage="1" error="Datum muss in der Zukunft liegen" sqref="K33:L33">
      <formula1>$N$3</formula1>
      <formula2>0</formula2>
    </dataValidation>
    <dataValidation type="list" allowBlank="1" showErrorMessage="1" sqref="B26">
      <formula1>"Ja,Nein"</formula1>
    </dataValidation>
    <dataValidation type="list" operator="equal" allowBlank="1" showErrorMessage="1" sqref="K37:L37">
      <formula1>$N$5:$N$7</formula1>
      <formula2>0</formula2>
    </dataValidation>
    <dataValidation operator="greaterThan" allowBlank="1" showErrorMessage="1" sqref="D26">
      <formula1>0</formula1>
      <formula2>0</formula2>
    </dataValidation>
    <dataValidation type="list" allowBlank="1" showInputMessage="1" showErrorMessage="1" sqref="D31:J31">
      <formula1>"Stufe 1,Stufe 2"</formula1>
    </dataValidation>
    <dataValidation type="list" operator="equal" allowBlank="1" showErrorMessage="1" sqref="D37:J37">
      <formula1>"Ja"</formula1>
    </dataValidation>
    <dataValidation type="list" allowBlank="1" showInputMessage="1" showErrorMessage="1" sqref="B47:C47">
      <formula1>"Miete,Eigentum"</formula1>
    </dataValidation>
    <dataValidation type="list" allowBlank="1" showInputMessage="1" showErrorMessage="1" sqref="B45:C45">
      <formula1>Zusatzeingaben!$A$305:$A$320</formula1>
    </dataValidation>
    <dataValidation type="list" allowBlank="1" showInputMessage="1" showErrorMessage="1" sqref="B46:C46">
      <formula1>Zusatzeingaben!$A$683:$A$1040</formula1>
    </dataValidation>
    <dataValidation type="whole" allowBlank="1" showInputMessage="1" showErrorMessage="1" sqref="D42:J42">
      <formula1>0</formula1>
      <formula2>30</formula2>
    </dataValidation>
    <dataValidation type="list" allowBlank="1" showInputMessage="1" showErrorMessage="1" sqref="F46">
      <formula1>"I,II,III,IV,V,VI"</formula1>
    </dataValidation>
    <dataValidation allowBlank="1" showErrorMessage="1" sqref="H13">
      <formula1>0</formula1>
      <formula2>0</formula2>
    </dataValidation>
    <dataValidation type="whole" operator="greaterThanOrEqual" showErrorMessage="1" sqref="C9">
      <formula1>1</formula1>
      <formula2>0</formula2>
    </dataValidation>
    <dataValidation type="list" allowBlank="1" showInputMessage="1" showErrorMessage="1" sqref="D92:J92">
      <formula1>"23,22,21,20,19,18,17,16,15"</formula1>
    </dataValidation>
    <dataValidation type="list" allowBlank="1" showInputMessage="1" showErrorMessage="1" sqref="D91:J91">
      <formula1>"Vollverpflegung,Frühstück,Mittagessen,Abendessen"</formula1>
    </dataValidation>
    <dataValidation type="list" allowBlank="1" showInputMessage="1" showErrorMessage="1" sqref="D84:F84">
      <formula1>"Nein"</formula1>
    </dataValidation>
    <dataValidation type="custom" allowBlank="1" showInputMessage="1" showErrorMessage="1" error="Kind muss älter al 17 sein" sqref="F98:J98">
      <formula1>F21&gt;17</formula1>
    </dataValidation>
    <dataValidation type="list" allowBlank="1" showInputMessage="1" showErrorMessage="1" sqref="D25:E25">
      <formula1>"Ja,Nein"</formula1>
    </dataValidation>
  </dataValidations>
  <hyperlinks>
    <hyperlink ref="B31" location="Ernährung" display="siehe Liste"/>
    <hyperlink ref="A58:C58" location="Wohngeldabzug" display="Weitere Eingaben erforderlich"/>
    <hyperlink ref="A163" location="Wohngeldabzug" display="Weitere Eingaben erforderlich"/>
    <hyperlink ref="D162:E163" location="Wohngeld" display="Berechnung anzeigen"/>
    <hyperlink ref="D165:E166" location="Kinderzuschlag" display="Berechnung anzeigen"/>
    <hyperlink ref="D168:E169" location="Berechnung!AE2" display="Berechnung anzeigen"/>
    <hyperlink ref="D159:E160" location="Berechnung!A2" display="Berechnung anzeigen"/>
  </hyperlinks>
  <pageMargins left="0.28333333333333333" right="0.45833333333333331" top="0.47499999999999998" bottom="0.40833333333333333" header="0.3" footer="0.3"/>
  <pageSetup paperSize="9" scale="99" orientation="landscape" r:id="rId1"/>
  <rowBreaks count="3" manualBreakCount="3">
    <brk id="61" max="9" man="1"/>
    <brk id="94" max="9" man="1"/>
    <brk id="144" max="9" man="1"/>
  </rowBreaks>
  <legacyDrawing r:id="rId2"/>
</worksheet>
</file>

<file path=xl/worksheets/sheet3.xml><?xml version="1.0" encoding="utf-8"?>
<worksheet xmlns="http://schemas.openxmlformats.org/spreadsheetml/2006/main" xmlns:r="http://schemas.openxmlformats.org/officeDocument/2006/relationships">
  <sheetPr codeName="Tabelle2"/>
  <dimension ref="A1:AF1050"/>
  <sheetViews>
    <sheetView showGridLines="0" showZeros="0" topLeftCell="A248" zoomScale="118" zoomScaleNormal="118" workbookViewId="0">
      <selection activeCell="A283" sqref="A283:XFD1040"/>
    </sheetView>
  </sheetViews>
  <sheetFormatPr baseColWidth="10" defaultRowHeight="12.75"/>
  <cols>
    <col min="1" max="1" width="47.85546875" customWidth="1"/>
    <col min="2" max="2" width="11.7109375" customWidth="1"/>
    <col min="3" max="9" width="12.28515625" customWidth="1"/>
  </cols>
  <sheetData>
    <row r="1" spans="1:12" s="2" customFormat="1" ht="27" hidden="1" customHeight="1">
      <c r="A1" s="2080" t="s">
        <v>308</v>
      </c>
      <c r="B1" s="2081"/>
      <c r="C1" s="2081"/>
      <c r="D1" s="2081"/>
      <c r="E1" s="2081"/>
      <c r="F1" s="2081"/>
      <c r="G1" s="2081"/>
      <c r="H1" s="2081"/>
      <c r="I1" s="2082"/>
      <c r="J1" s="5"/>
      <c r="K1" s="1855">
        <f>(DATE(YEAR(Berechnung!E3),MONTH(Berechnung!E3),1))</f>
        <v>43344</v>
      </c>
      <c r="L1" s="1"/>
    </row>
    <row r="2" spans="1:12" s="2" customFormat="1" ht="21.75" hidden="1" customHeight="1" thickBot="1">
      <c r="A2" s="72" t="s">
        <v>4</v>
      </c>
      <c r="B2" s="2083"/>
      <c r="C2" s="2084"/>
      <c r="D2" s="73" t="s">
        <v>33</v>
      </c>
      <c r="E2" s="607">
        <f>Eingabetabelle!H13</f>
        <v>43344</v>
      </c>
      <c r="F2" s="340">
        <f>EOMONTH(Berechnung!E3,0)</f>
        <v>43373</v>
      </c>
      <c r="G2" s="371">
        <f>DAY(F2)</f>
        <v>30</v>
      </c>
      <c r="H2" s="861">
        <f>IF(G2&lt;&gt;30,30,30)</f>
        <v>30</v>
      </c>
      <c r="I2" s="373" t="str">
        <f>TEXT(E2,"MMMM")</f>
        <v>September</v>
      </c>
      <c r="J2" s="261"/>
      <c r="K2" s="1"/>
      <c r="L2" s="1"/>
    </row>
    <row r="3" spans="1:12" s="2" customFormat="1" ht="20.25" hidden="1">
      <c r="A3" s="2097" t="s">
        <v>0</v>
      </c>
      <c r="B3" s="2098"/>
      <c r="C3" s="2098"/>
      <c r="D3" s="2098"/>
      <c r="E3" s="2098"/>
      <c r="F3" s="2098"/>
      <c r="G3" s="2098"/>
      <c r="H3" s="2098"/>
      <c r="I3" s="2099"/>
      <c r="J3" s="402">
        <f>DATE(YEAR(E2),MONTH(E2)*1-300,)</f>
        <v>34212</v>
      </c>
      <c r="K3" s="403">
        <f>J3+1</f>
        <v>34213</v>
      </c>
      <c r="L3" s="364"/>
    </row>
    <row r="4" spans="1:12" s="2" customFormat="1" ht="18.75" hidden="1">
      <c r="A4" s="78" t="s">
        <v>64</v>
      </c>
      <c r="B4" s="350" t="s">
        <v>30</v>
      </c>
      <c r="C4" s="349" t="s">
        <v>5</v>
      </c>
      <c r="D4" s="349" t="s">
        <v>6</v>
      </c>
      <c r="E4" s="349" t="s">
        <v>7</v>
      </c>
      <c r="F4" s="350" t="s">
        <v>8</v>
      </c>
      <c r="G4" s="350" t="s">
        <v>9</v>
      </c>
      <c r="H4" s="350" t="s">
        <v>10</v>
      </c>
      <c r="I4" s="351" t="s">
        <v>34</v>
      </c>
    </row>
    <row r="5" spans="1:12" s="2" customFormat="1" ht="18.75" hidden="1" customHeight="1">
      <c r="A5" s="97" t="s">
        <v>267</v>
      </c>
      <c r="B5" s="576">
        <f>Eingabetabelle!C17</f>
        <v>0</v>
      </c>
      <c r="C5" s="1282">
        <f>B6+B5</f>
        <v>1</v>
      </c>
      <c r="D5" s="1283"/>
      <c r="E5" s="1283"/>
      <c r="F5" s="1283"/>
      <c r="G5" s="1283"/>
      <c r="H5" s="1283"/>
      <c r="I5" s="1284"/>
    </row>
    <row r="6" spans="1:12" s="2" customFormat="1" ht="20.100000000000001" hidden="1" customHeight="1">
      <c r="A6" s="79" t="s">
        <v>2259</v>
      </c>
      <c r="B6" s="357">
        <f>COUNTIF(C33:I33,"&gt;0")</f>
        <v>1</v>
      </c>
      <c r="C6" s="257"/>
      <c r="D6" s="1744"/>
      <c r="E6" s="1744"/>
      <c r="F6" s="1744"/>
      <c r="G6" s="1744"/>
      <c r="H6" s="1744"/>
      <c r="I6" s="1744"/>
    </row>
    <row r="7" spans="1:12" s="2" customFormat="1" ht="20.100000000000001" hidden="1" customHeight="1">
      <c r="A7" s="1293" t="s">
        <v>2268</v>
      </c>
      <c r="B7" s="583">
        <f>COUNTIF(E16:I16,"&lt;18")</f>
        <v>0</v>
      </c>
      <c r="C7" s="1744" t="s">
        <v>2281</v>
      </c>
      <c r="D7" s="1744" t="s">
        <v>2281</v>
      </c>
      <c r="E7" s="1744" t="str">
        <f>IF(AND($C7="Nein",$B$7&lt;1),"nein","ja")</f>
        <v>nein</v>
      </c>
      <c r="F7" s="1744" t="str">
        <f t="shared" ref="F7:I7" si="0">IF(AND($C7="Nein",$B$7&lt;1),"nein","ja")</f>
        <v>nein</v>
      </c>
      <c r="G7" s="1744" t="str">
        <f t="shared" si="0"/>
        <v>nein</v>
      </c>
      <c r="H7" s="1744" t="str">
        <f t="shared" si="0"/>
        <v>nein</v>
      </c>
      <c r="I7" s="1744" t="str">
        <f t="shared" si="0"/>
        <v>nein</v>
      </c>
    </row>
    <row r="8" spans="1:12" s="2" customFormat="1" ht="20.100000000000001" hidden="1" customHeight="1">
      <c r="A8" s="1470" t="s">
        <v>68</v>
      </c>
      <c r="B8" s="1468">
        <f>COUNTIF(C8:I8,"&gt;0")</f>
        <v>0</v>
      </c>
      <c r="C8" s="1469">
        <f>Eingabetabelle!D20</f>
        <v>0</v>
      </c>
      <c r="D8" s="1469">
        <f>Eingabetabelle!E20</f>
        <v>0</v>
      </c>
      <c r="E8" s="1469">
        <f>Eingabetabelle!F20</f>
        <v>0</v>
      </c>
      <c r="F8" s="1469">
        <f>Eingabetabelle!G20</f>
        <v>0</v>
      </c>
      <c r="G8" s="1469">
        <f>Eingabetabelle!H20</f>
        <v>0</v>
      </c>
      <c r="H8" s="1469">
        <f>Eingabetabelle!I20</f>
        <v>0</v>
      </c>
      <c r="I8" s="1469">
        <f>Eingabetabelle!J20</f>
        <v>0</v>
      </c>
      <c r="J8" s="267"/>
      <c r="K8" s="404">
        <f>IF(E8&gt;E2,E14,0)</f>
        <v>0</v>
      </c>
    </row>
    <row r="9" spans="1:12" s="2" customFormat="1" ht="20.100000000000001" hidden="1" customHeight="1">
      <c r="A9" s="156"/>
      <c r="B9" s="32"/>
      <c r="C9" s="30">
        <f t="shared" ref="C9:I9" si="1">DAY(C8)</f>
        <v>0</v>
      </c>
      <c r="D9" s="30">
        <f t="shared" si="1"/>
        <v>0</v>
      </c>
      <c r="E9" s="30">
        <f t="shared" si="1"/>
        <v>0</v>
      </c>
      <c r="F9" s="30">
        <f t="shared" si="1"/>
        <v>0</v>
      </c>
      <c r="G9" s="30">
        <f t="shared" si="1"/>
        <v>0</v>
      </c>
      <c r="H9" s="30">
        <f t="shared" si="1"/>
        <v>0</v>
      </c>
      <c r="I9" s="155">
        <f t="shared" si="1"/>
        <v>0</v>
      </c>
    </row>
    <row r="10" spans="1:12" s="2" customFormat="1" ht="20.100000000000001" hidden="1" customHeight="1">
      <c r="A10" s="156"/>
      <c r="B10" s="32"/>
      <c r="C10" s="30">
        <f t="shared" ref="C10:I10" si="2">C9-1</f>
        <v>-1</v>
      </c>
      <c r="D10" s="30">
        <f t="shared" si="2"/>
        <v>-1</v>
      </c>
      <c r="E10" s="30">
        <f t="shared" si="2"/>
        <v>-1</v>
      </c>
      <c r="F10" s="30">
        <f t="shared" si="2"/>
        <v>-1</v>
      </c>
      <c r="G10" s="30">
        <f t="shared" si="2"/>
        <v>-1</v>
      </c>
      <c r="H10" s="30">
        <f t="shared" si="2"/>
        <v>-1</v>
      </c>
      <c r="I10" s="155">
        <f t="shared" si="2"/>
        <v>-1</v>
      </c>
    </row>
    <row r="11" spans="1:12" s="2" customFormat="1" ht="20.100000000000001" hidden="1" customHeight="1">
      <c r="A11" s="156"/>
      <c r="B11" s="32"/>
      <c r="C11" s="30">
        <f>IF(OR(C9=31,C9=28*(AND(I2="februar")),C9=29*(AND(I2="februar"))),29,C10)</f>
        <v>29</v>
      </c>
      <c r="D11" s="30">
        <f>IF(OR(D9=31,D9=28*(AND(I2="februar")),D9=29*(AND(I2="februar"))),29,D10)</f>
        <v>29</v>
      </c>
      <c r="E11" s="30">
        <f>IF(OR(E9=31,E9=28*(AND(I2="februar")),E9=29*(AND(I2="februar"))),29,E10)</f>
        <v>29</v>
      </c>
      <c r="F11" s="30">
        <f>IF(OR(F9=31,F9=28*(AND(I2="februar")),F9=29*(AND(I2="februar"))),29,F10)</f>
        <v>29</v>
      </c>
      <c r="G11" s="30">
        <f>IF(OR(G9=31,G9=28*(AND(I2="februar")),G9=29*(AND(I2="februar"))),29,G10)</f>
        <v>29</v>
      </c>
      <c r="H11" s="30">
        <f>IF(OR(H9=31,H9=28*(AND(I2="februar")),H9=29*(AND(I2="februar"))),29,H10)</f>
        <v>29</v>
      </c>
      <c r="I11" s="155">
        <f>IF(OR(I9=31,I9=28*(AND(I2="februar")),I9=29*(AND(I2="februar"))),29,I10)</f>
        <v>29</v>
      </c>
    </row>
    <row r="12" spans="1:12" s="2" customFormat="1" ht="20.100000000000001" hidden="1" customHeight="1">
      <c r="A12" s="156"/>
      <c r="B12" s="32"/>
      <c r="C12" s="30">
        <f>H2-C10</f>
        <v>31</v>
      </c>
      <c r="D12" s="30">
        <f>H2-D10</f>
        <v>31</v>
      </c>
      <c r="E12" s="30">
        <f>H2-E10</f>
        <v>31</v>
      </c>
      <c r="F12" s="30">
        <f>H2-F10</f>
        <v>31</v>
      </c>
      <c r="G12" s="30">
        <f>H2-G10</f>
        <v>31</v>
      </c>
      <c r="H12" s="30">
        <f>H2-H10</f>
        <v>31</v>
      </c>
      <c r="I12" s="155">
        <f>H2-I10</f>
        <v>31</v>
      </c>
    </row>
    <row r="13" spans="1:12" s="2" customFormat="1" ht="20.100000000000001" hidden="1" customHeight="1">
      <c r="A13" s="156"/>
      <c r="B13" s="32"/>
      <c r="C13" s="30">
        <f t="shared" ref="C13:I13" si="3">IF(C12=0,1,IF(C11=29,1,C12))</f>
        <v>1</v>
      </c>
      <c r="D13" s="30">
        <f t="shared" si="3"/>
        <v>1</v>
      </c>
      <c r="E13" s="30">
        <f t="shared" si="3"/>
        <v>1</v>
      </c>
      <c r="F13" s="30">
        <f t="shared" si="3"/>
        <v>1</v>
      </c>
      <c r="G13" s="30">
        <f t="shared" si="3"/>
        <v>1</v>
      </c>
      <c r="H13" s="30">
        <f t="shared" si="3"/>
        <v>1</v>
      </c>
      <c r="I13" s="155">
        <f t="shared" si="3"/>
        <v>1</v>
      </c>
    </row>
    <row r="14" spans="1:12" s="2" customFormat="1" ht="20.100000000000001" hidden="1" customHeight="1">
      <c r="A14" s="156"/>
      <c r="B14" s="32"/>
      <c r="C14" s="30"/>
      <c r="D14" s="30"/>
      <c r="E14" s="30">
        <f>IF(E8&gt;E2,G2-E10,E13)</f>
        <v>1</v>
      </c>
      <c r="F14" s="30">
        <f>IF(F8&gt;E2,G2-F10,F13)</f>
        <v>1</v>
      </c>
      <c r="G14" s="30">
        <f>IF(G8&gt;E2,G2-G10,G13)</f>
        <v>1</v>
      </c>
      <c r="H14" s="30">
        <f>IF(H8&gt;E2,G2-H10,H13)</f>
        <v>1</v>
      </c>
      <c r="I14" s="155">
        <f>IF(I8&gt;E2,G2-I10,I13)</f>
        <v>1</v>
      </c>
    </row>
    <row r="15" spans="1:12" s="5" customFormat="1" ht="16.5" hidden="1" customHeight="1">
      <c r="A15" s="168"/>
      <c r="B15" s="32"/>
      <c r="C15" s="159">
        <f>DATEDIF(C$8,E2,"y")</f>
        <v>118</v>
      </c>
      <c r="D15" s="159">
        <f>DATEDIF(D$8,E2,"y")</f>
        <v>118</v>
      </c>
      <c r="E15" s="159">
        <f>DATEDIF(E$8,E2,"y")</f>
        <v>118</v>
      </c>
      <c r="F15" s="159">
        <f>DATEDIF(F$8,E2,"y")</f>
        <v>118</v>
      </c>
      <c r="G15" s="159">
        <f>DATEDIF(G$8,E2,"y")</f>
        <v>118</v>
      </c>
      <c r="H15" s="159">
        <f>DATEDIF(H$8,E2,"y")</f>
        <v>118</v>
      </c>
      <c r="I15" s="160">
        <f>DATEDIF(I$8,E2,"y")</f>
        <v>118</v>
      </c>
    </row>
    <row r="16" spans="1:12" s="167" customFormat="1" ht="16.5" hidden="1" customHeight="1">
      <c r="A16" s="163"/>
      <c r="B16" s="164"/>
      <c r="C16" s="165"/>
      <c r="D16" s="165"/>
      <c r="E16" s="165">
        <f>IF(E8&gt;E2,0,E15)</f>
        <v>118</v>
      </c>
      <c r="F16" s="165">
        <f>IF(F8&gt;E2,0,F15)</f>
        <v>118</v>
      </c>
      <c r="G16" s="165">
        <f>IF(G8&gt;E2,0,G15)</f>
        <v>118</v>
      </c>
      <c r="H16" s="165">
        <f>IF(H8&gt;E2,0,H15)</f>
        <v>118</v>
      </c>
      <c r="I16" s="166">
        <f>IF(I8&gt;E2,0,I15)</f>
        <v>118</v>
      </c>
    </row>
    <row r="17" spans="1:11" s="5" customFormat="1" ht="16.5" hidden="1" customHeight="1">
      <c r="A17" s="168"/>
      <c r="B17" s="32"/>
      <c r="C17" s="159">
        <f>IF(C15=0,DATEDIF(C$8,E2,"d"),0)</f>
        <v>0</v>
      </c>
      <c r="D17" s="159">
        <f>IF(D15=0,DATEDIF(D$8,E2,"d"),0)</f>
        <v>0</v>
      </c>
      <c r="E17" s="159">
        <f>IF(E16=0,DATEDIF(E$8,E2,"d"),0)</f>
        <v>0</v>
      </c>
      <c r="F17" s="159">
        <f>IF(F15=0,DATEDIF(F$8,E2,"d"),0)</f>
        <v>0</v>
      </c>
      <c r="G17" s="159">
        <f>IF(G15=0,DATEDIF(G$8,E2,"d"),0)</f>
        <v>0</v>
      </c>
      <c r="H17" s="159">
        <f>IF(H15=0,DATEDIF(H$8,E2,"d"),0)</f>
        <v>0</v>
      </c>
      <c r="I17" s="160">
        <f>IF(I15=0,DATEDIF(I$8,E2,"d"),0)</f>
        <v>0</v>
      </c>
    </row>
    <row r="18" spans="1:11" s="167" customFormat="1" ht="16.5" hidden="1" customHeight="1">
      <c r="A18" s="163"/>
      <c r="B18" s="164"/>
      <c r="C18" s="165">
        <f>DATEDIF(C$8,F2,"y")</f>
        <v>118</v>
      </c>
      <c r="D18" s="165">
        <f>DATEDIF(D$8,F2,"y")</f>
        <v>118</v>
      </c>
      <c r="E18" s="165">
        <f>DATEDIF(E$8,F2,"y")</f>
        <v>118</v>
      </c>
      <c r="F18" s="165">
        <f>DATEDIF(F$8,F2,"y")</f>
        <v>118</v>
      </c>
      <c r="G18" s="165">
        <f>DATEDIF(G$8,F2,"y")</f>
        <v>118</v>
      </c>
      <c r="H18" s="165">
        <f>DATEDIF(H$8,F2,"y")</f>
        <v>118</v>
      </c>
      <c r="I18" s="166">
        <f>DATEDIF(I$8,F2,"y")</f>
        <v>118</v>
      </c>
      <c r="K18" s="405">
        <f>COUNTIF(E18:I18,"=25")</f>
        <v>0</v>
      </c>
    </row>
    <row r="19" spans="1:11" s="2" customFormat="1" ht="16.5" hidden="1" customHeight="1">
      <c r="A19" s="156"/>
      <c r="B19" s="32"/>
      <c r="C19" s="159">
        <f>IF(C8=DATE(1900,1,0),0,C15)</f>
        <v>0</v>
      </c>
      <c r="D19" s="159">
        <f t="shared" ref="D19:I19" si="4">IF(D8=DATE(1900,1,0),0,D15)</f>
        <v>0</v>
      </c>
      <c r="E19" s="159">
        <f>IF(E8=DATE(1900,1,0),0,E16)</f>
        <v>0</v>
      </c>
      <c r="F19" s="159">
        <f t="shared" si="4"/>
        <v>0</v>
      </c>
      <c r="G19" s="159">
        <f t="shared" si="4"/>
        <v>0</v>
      </c>
      <c r="H19" s="159">
        <f t="shared" si="4"/>
        <v>0</v>
      </c>
      <c r="I19" s="160">
        <f t="shared" si="4"/>
        <v>0</v>
      </c>
    </row>
    <row r="20" spans="1:11" s="2" customFormat="1" ht="16.5" hidden="1" customHeight="1">
      <c r="A20" s="156"/>
      <c r="B20" s="32"/>
      <c r="C20" s="159">
        <f t="shared" ref="C20:I20" si="5">IF(C8=DATE(1900,1,0),0,C17)</f>
        <v>0</v>
      </c>
      <c r="D20" s="159">
        <f t="shared" si="5"/>
        <v>0</v>
      </c>
      <c r="E20" s="159">
        <f t="shared" si="5"/>
        <v>0</v>
      </c>
      <c r="F20" s="159">
        <f t="shared" si="5"/>
        <v>0</v>
      </c>
      <c r="G20" s="159">
        <f t="shared" si="5"/>
        <v>0</v>
      </c>
      <c r="H20" s="159">
        <f t="shared" si="5"/>
        <v>0</v>
      </c>
      <c r="I20" s="160">
        <f t="shared" si="5"/>
        <v>0</v>
      </c>
    </row>
    <row r="21" spans="1:11" s="2" customFormat="1" ht="16.5" hidden="1" customHeight="1">
      <c r="A21" s="1048"/>
      <c r="B21" s="977"/>
      <c r="C21" s="1049">
        <f>IF(C19=0,0,C19)</f>
        <v>0</v>
      </c>
      <c r="D21" s="30">
        <f>IF(D19=0,0,D19)</f>
        <v>0</v>
      </c>
      <c r="E21" s="30">
        <f>IF(E19+E20=0,0,IF(E19&gt;E20,E19,1))</f>
        <v>0</v>
      </c>
      <c r="F21" s="30">
        <f>IF(F19+F20=0,0,IF(F19&gt;F20,F19,1))</f>
        <v>0</v>
      </c>
      <c r="G21" s="30">
        <f>IF(G19+G20=0,0,IF(G19&gt;G20,G19,1))</f>
        <v>0</v>
      </c>
      <c r="H21" s="30">
        <f>IF(H19+H20=0,0,IF(H19&gt;H20,H19,1))</f>
        <v>0</v>
      </c>
      <c r="I21" s="155">
        <f>IF(I19+I20=0,0,IF(I19&gt;I20,I19,1))</f>
        <v>0</v>
      </c>
    </row>
    <row r="22" spans="1:11" s="2" customFormat="1" ht="16.5" hidden="1" customHeight="1">
      <c r="A22" s="158"/>
      <c r="B22" s="1050"/>
      <c r="C22" s="30">
        <f>IF(C21=0,0,C21)</f>
        <v>0</v>
      </c>
      <c r="D22" s="30">
        <f t="shared" ref="D22:I22" si="6">IF(D21=0,0,D21)</f>
        <v>0</v>
      </c>
      <c r="E22" s="30">
        <f t="shared" si="6"/>
        <v>0</v>
      </c>
      <c r="F22" s="30">
        <f t="shared" si="6"/>
        <v>0</v>
      </c>
      <c r="G22" s="30">
        <f t="shared" si="6"/>
        <v>0</v>
      </c>
      <c r="H22" s="30">
        <f t="shared" si="6"/>
        <v>0</v>
      </c>
      <c r="I22" s="155">
        <f t="shared" si="6"/>
        <v>0</v>
      </c>
    </row>
    <row r="23" spans="1:11" s="2" customFormat="1" ht="16.5" hidden="1">
      <c r="A23" s="156"/>
      <c r="B23" s="157"/>
      <c r="C23" s="24">
        <f>IF(AND(C21&gt;0,C21&lt;18),F233,IF(AND(C21&gt;17,D21&gt;17),D233,IF(AND(C21&gt;17,D21=17),C233,IF(AND(C21&gt;17,D21=16),C233,IF(AND(C21&gt;17,D21=15),C233,C233)))))</f>
        <v>416</v>
      </c>
      <c r="D23" s="24">
        <f>IF(AND(D21&gt;17,C21&lt;18),C233,IF(D21&gt;17,D233,IF(D21=17,F233,IF(D21=16,F233,IF(D21=15,F233,0)))))</f>
        <v>0</v>
      </c>
      <c r="E23" s="24">
        <f>IF(E21&lt;1,0,IF(E21&lt;6,H233,IF(E21&lt;14,G233,IF(E21&lt;18,F233,E233))))</f>
        <v>0</v>
      </c>
      <c r="F23" s="24">
        <f>IF(F21&lt;1,0,IF(F21&lt;6,H233,IF(F21&lt;14,G233,IF(F21&lt;18,F233,E233))))</f>
        <v>0</v>
      </c>
      <c r="G23" s="24">
        <f>IF(G21&lt;1,0,IF(G21&lt;6,H233,IF(G21&lt;14,G233,IF(G21&lt;18,F233,E233))))</f>
        <v>0</v>
      </c>
      <c r="H23" s="24">
        <f>IF(H21&lt;1,0,IF(H21&lt;6,H233,IF(H21&lt;14,G233,IF(H21&lt;18,F233,E233))))</f>
        <v>0</v>
      </c>
      <c r="I23" s="53">
        <f>IF(I21&lt;1,0,IF(I21&lt;6,H233,IF(I21&lt;14,G233,IF(I21&lt;18,F233,E233))))</f>
        <v>0</v>
      </c>
    </row>
    <row r="24" spans="1:11" s="2" customFormat="1" ht="16.5" hidden="1">
      <c r="A24" s="156"/>
      <c r="B24" s="157"/>
      <c r="C24" s="24">
        <f>IF(C18&lt;18,F233,IF(AND(C18&gt;17,D18&gt;17,D18&lt;116),D233,IF(AND(C18&gt;17,D18=17),C233,IF(AND(C18&gt;17,D18=16),C233,IF(AND(C18&gt;17,D18=15),C233,C233)))))</f>
        <v>416</v>
      </c>
      <c r="D24" s="24">
        <f>IF(AND(D18&gt;17,C18&lt;18),C233,IF(D18&gt;17,D233,IF(D18=17,F233,IF(D18=16,F233,IF(D18=15,F233,0)))))</f>
        <v>374</v>
      </c>
      <c r="E24" s="24">
        <f>IF(E18&lt;1,0,IF(E18&lt;6,H233,IF(E18&lt;14,G233,IF(E18&lt;18,F233,E233))))</f>
        <v>332</v>
      </c>
      <c r="F24" s="24">
        <f>IF(F18&lt;1,0,IF(F18&lt;6,H233,IF(F18&lt;14,G233,IF(F18&lt;18,F233,E233))))</f>
        <v>332</v>
      </c>
      <c r="G24" s="24">
        <f>IF(G18&lt;1,0,IF(G18&lt;6,H233,IF(G18&lt;14,G233,IF(G18&lt;18,F233,E233))))</f>
        <v>332</v>
      </c>
      <c r="H24" s="24">
        <f>IF(H18&lt;1,0,IF(H18&lt;6,H233,IF(H18&lt;14,G233,IF(H18&lt;18,F233,E233))))</f>
        <v>332</v>
      </c>
      <c r="I24" s="53">
        <f>IF(I18&lt;1,0,IF(I18&lt;6,H233,IF(I18&lt;14,G233,IF(I18&lt;18,F233,E233))))</f>
        <v>332</v>
      </c>
    </row>
    <row r="25" spans="1:11" s="2" customFormat="1" ht="16.5" hidden="1">
      <c r="A25" s="156"/>
      <c r="B25" s="157"/>
      <c r="C25" s="24">
        <f>IF(C24&lt;&gt;C23,C24/H2*C13,C23)</f>
        <v>416</v>
      </c>
      <c r="D25" s="24">
        <f>IF(D24&lt;&gt;D23,D24/H2*D13,D23)</f>
        <v>12.466666666666667</v>
      </c>
      <c r="E25" s="24">
        <f>IF(E24&gt;E23,E24/H2*E14,E23)</f>
        <v>11.066666666666666</v>
      </c>
      <c r="F25" s="24">
        <f>IF(F24&gt;F23,F24/H2*F14,F23)</f>
        <v>11.066666666666666</v>
      </c>
      <c r="G25" s="24">
        <f>IF(G24&gt;G23,G24/H2*G14,G23)</f>
        <v>11.066666666666666</v>
      </c>
      <c r="H25" s="24">
        <f>IF(H24&gt;H23,H24/H2*H14,H23)</f>
        <v>11.066666666666666</v>
      </c>
      <c r="I25" s="53">
        <f>IF(I24&gt;I23,I24/H2*I14,I23)</f>
        <v>11.066666666666666</v>
      </c>
    </row>
    <row r="26" spans="1:11" s="2" customFormat="1" ht="16.5" hidden="1">
      <c r="A26" s="156"/>
      <c r="B26" s="157"/>
      <c r="C26" s="24">
        <f>IF(C24&lt;&gt;C23,C23/H2*C11,C23)</f>
        <v>416</v>
      </c>
      <c r="D26" s="24">
        <f>IF(D24&lt;&gt;D23,D23/H2*D11,D23)</f>
        <v>0</v>
      </c>
      <c r="E26" s="24">
        <f>IF(E24&gt;E23,E23/H2*E11,E23)</f>
        <v>0</v>
      </c>
      <c r="F26" s="24">
        <f>IF(F24&gt;F23,F23/H2*F11,F23)</f>
        <v>0</v>
      </c>
      <c r="G26" s="24">
        <f>IF(G24&gt;G23,G23/H2*G11,G23)</f>
        <v>0</v>
      </c>
      <c r="H26" s="24">
        <f>IF(H24&gt;H23,H23/H2*H11,H23)</f>
        <v>0</v>
      </c>
      <c r="I26" s="53">
        <f>IF(I24&gt;I23,I23/H2*I11,I23)</f>
        <v>0</v>
      </c>
    </row>
    <row r="27" spans="1:11" s="2" customFormat="1" ht="16.5" hidden="1">
      <c r="A27" s="156"/>
      <c r="B27" s="157"/>
      <c r="C27" s="24">
        <f t="shared" ref="C27:I27" si="7">IF(C26=C25,C23,C25+C26)</f>
        <v>416</v>
      </c>
      <c r="D27" s="24">
        <f t="shared" si="7"/>
        <v>12.466666666666667</v>
      </c>
      <c r="E27" s="24">
        <f t="shared" si="7"/>
        <v>11.066666666666666</v>
      </c>
      <c r="F27" s="24">
        <f t="shared" si="7"/>
        <v>11.066666666666666</v>
      </c>
      <c r="G27" s="24">
        <f t="shared" si="7"/>
        <v>11.066666666666666</v>
      </c>
      <c r="H27" s="24">
        <f t="shared" si="7"/>
        <v>11.066666666666666</v>
      </c>
      <c r="I27" s="53">
        <f t="shared" si="7"/>
        <v>11.066666666666666</v>
      </c>
    </row>
    <row r="28" spans="1:11" s="2" customFormat="1" ht="16.5" hidden="1">
      <c r="A28" s="156"/>
      <c r="B28" s="157"/>
      <c r="C28" s="24">
        <f>C27</f>
        <v>416</v>
      </c>
      <c r="D28" s="24">
        <f t="shared" ref="D28:I28" si="8">IF(D23=0,0,D27)</f>
        <v>0</v>
      </c>
      <c r="E28" s="24">
        <f t="shared" si="8"/>
        <v>0</v>
      </c>
      <c r="F28" s="24">
        <f t="shared" si="8"/>
        <v>0</v>
      </c>
      <c r="G28" s="24">
        <f t="shared" si="8"/>
        <v>0</v>
      </c>
      <c r="H28" s="24">
        <f t="shared" si="8"/>
        <v>0</v>
      </c>
      <c r="I28" s="53">
        <f t="shared" si="8"/>
        <v>0</v>
      </c>
    </row>
    <row r="29" spans="1:11" s="2" customFormat="1" ht="16.5" hidden="1">
      <c r="A29" s="156"/>
      <c r="B29" s="157"/>
      <c r="C29" s="24">
        <f>IF(C15&lt;15,0,C28)</f>
        <v>416</v>
      </c>
      <c r="D29" s="24"/>
      <c r="E29" s="24">
        <f>IF(E18=25,E28/H2*E10,E28)</f>
        <v>0</v>
      </c>
      <c r="F29" s="24">
        <f>IF(F18=25,F28/H2*F10,F28)</f>
        <v>0</v>
      </c>
      <c r="G29" s="24">
        <f>IF(G18=25,G28/H2*G10,G28)</f>
        <v>0</v>
      </c>
      <c r="H29" s="24">
        <f>IF(H18=25,H28/H2*H10,H28)</f>
        <v>0</v>
      </c>
      <c r="I29" s="53">
        <f>IF(I18=25,I28/H2*I10,I28)</f>
        <v>0</v>
      </c>
    </row>
    <row r="30" spans="1:11" s="2" customFormat="1" ht="16.5" hidden="1">
      <c r="A30" s="156"/>
      <c r="B30" s="157"/>
      <c r="C30" s="24"/>
      <c r="D30" s="24"/>
      <c r="E30" s="24">
        <f>IF(E16&gt;24,0,E29)</f>
        <v>0</v>
      </c>
      <c r="F30" s="24">
        <f>IF(F15&gt;24,0,F29)</f>
        <v>0</v>
      </c>
      <c r="G30" s="24">
        <f>IF(G15&gt;24,0,G29)</f>
        <v>0</v>
      </c>
      <c r="H30" s="24">
        <f>IF(H15&gt;24,0,H29)</f>
        <v>0</v>
      </c>
      <c r="I30" s="53">
        <f>IF(I15&gt;24,0,I29)</f>
        <v>0</v>
      </c>
    </row>
    <row r="31" spans="1:11" s="2" customFormat="1" ht="16.5" hidden="1">
      <c r="A31" s="156"/>
      <c r="B31" s="157"/>
      <c r="C31" s="3"/>
      <c r="D31" s="3"/>
      <c r="E31" s="24">
        <f>ROUND(E30,0)</f>
        <v>0</v>
      </c>
      <c r="F31" s="24">
        <f>ROUND(F30,0)</f>
        <v>0</v>
      </c>
      <c r="G31" s="24">
        <f>ROUND(G30,0)</f>
        <v>0</v>
      </c>
      <c r="H31" s="24">
        <f>ROUND(H30,0)</f>
        <v>0</v>
      </c>
      <c r="I31" s="53">
        <f>ROUND(I30,0)</f>
        <v>0</v>
      </c>
    </row>
    <row r="32" spans="1:11" s="2" customFormat="1" ht="16.5" hidden="1">
      <c r="A32" s="156"/>
      <c r="B32" s="157"/>
      <c r="C32" s="45"/>
      <c r="D32" s="45"/>
      <c r="E32" s="45">
        <f>IF(E8&gt;E2,H233*E14/30,E31)</f>
        <v>0</v>
      </c>
      <c r="F32" s="45">
        <f>IF(F8&gt;E2,H233*F14/30,F31)</f>
        <v>0</v>
      </c>
      <c r="G32" s="45">
        <f>IF(G8&gt;E2,H233*G14/30,G31)</f>
        <v>0</v>
      </c>
      <c r="H32" s="45">
        <f>IF(H8&gt;E2,H233*H14/30,H31)</f>
        <v>0</v>
      </c>
      <c r="I32" s="270">
        <f>IF(I8&gt;E2,H233*I14/30,I31)</f>
        <v>0</v>
      </c>
    </row>
    <row r="33" spans="1:31" s="2" customFormat="1" ht="16.5" hidden="1">
      <c r="A33" s="156"/>
      <c r="B33" s="1101">
        <f>SUMPRODUCT((E33:I33&lt;G233)*(E33:I33&gt;0))</f>
        <v>0</v>
      </c>
      <c r="C33" s="24">
        <f>ROUND(C29,0)</f>
        <v>416</v>
      </c>
      <c r="D33" s="24">
        <f>ROUND(D28,0)</f>
        <v>0</v>
      </c>
      <c r="E33" s="24">
        <f>ROUND(E32,0)</f>
        <v>0</v>
      </c>
      <c r="F33" s="24">
        <f>ROUND(F32,0)</f>
        <v>0</v>
      </c>
      <c r="G33" s="24">
        <f>ROUND(G32,0)</f>
        <v>0</v>
      </c>
      <c r="H33" s="24">
        <f>ROUND(H32,0)</f>
        <v>0</v>
      </c>
      <c r="I33" s="53">
        <f>ROUND(I32,0)</f>
        <v>0</v>
      </c>
      <c r="J33" s="267"/>
      <c r="K33" s="267"/>
      <c r="L33" s="267"/>
      <c r="M33" s="267"/>
      <c r="N33" s="267"/>
      <c r="O33" s="267"/>
      <c r="P33" s="267"/>
      <c r="Q33" s="267"/>
      <c r="R33" s="267"/>
      <c r="S33" s="361">
        <f>COUNTIF(E33:I33,"&gt;0")</f>
        <v>0</v>
      </c>
    </row>
    <row r="34" spans="1:31" s="2" customFormat="1" ht="16.5" hidden="1">
      <c r="A34" s="156">
        <f>IF(B8&gt;0,"erwerbsfähig",0)</f>
        <v>0</v>
      </c>
      <c r="B34" s="157"/>
      <c r="C34" s="1464" t="str">
        <f>IF(C197&gt;0,"nein","ja")</f>
        <v>ja</v>
      </c>
      <c r="D34" s="1464" t="str">
        <f>IF(D197&gt;0,"nein","ja")</f>
        <v>ja</v>
      </c>
      <c r="E34" s="1464" t="str">
        <f>IF(E18&gt;14,"ja","nein")</f>
        <v>ja</v>
      </c>
      <c r="F34" s="1464" t="str">
        <f t="shared" ref="F34:H34" si="9">IF(F18&gt;14,"ja","nein")</f>
        <v>ja</v>
      </c>
      <c r="G34" s="1464" t="str">
        <f t="shared" si="9"/>
        <v>ja</v>
      </c>
      <c r="H34" s="1464" t="str">
        <f t="shared" si="9"/>
        <v>ja</v>
      </c>
      <c r="I34" s="1465" t="str">
        <f>IF(I18&gt;14,"ja","nein")</f>
        <v>ja</v>
      </c>
      <c r="J34" s="267"/>
      <c r="K34" s="267"/>
      <c r="L34" s="267"/>
      <c r="M34" s="267"/>
      <c r="N34" s="267"/>
      <c r="O34" s="267"/>
      <c r="P34" s="267"/>
      <c r="Q34" s="267"/>
      <c r="R34" s="267"/>
      <c r="S34" s="361"/>
    </row>
    <row r="35" spans="1:31" s="2" customFormat="1" ht="20.100000000000001" hidden="1" customHeight="1" thickBot="1">
      <c r="A35" s="123">
        <f>IF(B8&gt;0,"anspruchsberechtigt",0)</f>
        <v>0</v>
      </c>
      <c r="B35" s="34"/>
      <c r="C35" s="1464" t="str">
        <f>IF(C197&gt;0,"nein","ja")</f>
        <v>ja</v>
      </c>
      <c r="D35" s="1464" t="str">
        <f>IF(D197&gt;0,"nein","ja")</f>
        <v>ja</v>
      </c>
      <c r="E35" s="1466" t="s">
        <v>99</v>
      </c>
      <c r="F35" s="1466" t="s">
        <v>99</v>
      </c>
      <c r="G35" s="1466" t="s">
        <v>99</v>
      </c>
      <c r="H35" s="1466" t="s">
        <v>99</v>
      </c>
      <c r="I35" s="1467" t="s">
        <v>99</v>
      </c>
      <c r="J35" s="358"/>
    </row>
    <row r="36" spans="1:31" s="2" customFormat="1" ht="29.25" hidden="1" customHeight="1">
      <c r="A36" s="169" t="s">
        <v>102</v>
      </c>
      <c r="B36" s="629" t="s">
        <v>30</v>
      </c>
      <c r="C36" s="1246"/>
      <c r="D36" s="888"/>
      <c r="E36" s="888"/>
      <c r="F36" s="1247"/>
      <c r="G36" s="1247"/>
      <c r="H36" s="1247"/>
      <c r="I36" s="1248"/>
    </row>
    <row r="37" spans="1:31" s="2" customFormat="1" ht="20.100000000000001" hidden="1" customHeight="1">
      <c r="A37" s="84" t="s">
        <v>2260</v>
      </c>
      <c r="B37" s="22"/>
      <c r="C37" s="1505">
        <f>Eingabetabelle!D33</f>
        <v>0</v>
      </c>
      <c r="D37" s="1505">
        <f>Eingabetabelle!E33</f>
        <v>0</v>
      </c>
      <c r="E37" s="1505">
        <f>Eingabetabelle!F33</f>
        <v>0</v>
      </c>
      <c r="F37" s="1505">
        <f>Eingabetabelle!G33</f>
        <v>0</v>
      </c>
      <c r="G37" s="1505">
        <f>Eingabetabelle!H33</f>
        <v>0</v>
      </c>
      <c r="H37" s="1505">
        <f>Eingabetabelle!I33</f>
        <v>0</v>
      </c>
      <c r="I37" s="1505">
        <f>Eingabetabelle!J33</f>
        <v>0</v>
      </c>
    </row>
    <row r="38" spans="1:31" s="2" customFormat="1" ht="20.100000000000001" hidden="1" customHeight="1">
      <c r="A38" s="84"/>
      <c r="B38" s="22"/>
      <c r="C38" s="145">
        <f>C37-280</f>
        <v>-280</v>
      </c>
      <c r="D38" s="145">
        <f>D37-280</f>
        <v>-280</v>
      </c>
      <c r="E38" s="145">
        <f>E37-280</f>
        <v>-280</v>
      </c>
      <c r="F38" s="1249"/>
      <c r="G38" s="1253"/>
      <c r="H38" s="1250"/>
      <c r="I38" s="116"/>
    </row>
    <row r="39" spans="1:31" s="2" customFormat="1" ht="20.100000000000001" hidden="1" customHeight="1">
      <c r="A39" s="84"/>
      <c r="B39" s="22"/>
      <c r="C39" s="145">
        <f>C38+85</f>
        <v>-195</v>
      </c>
      <c r="D39" s="145">
        <f>D38+85</f>
        <v>-195</v>
      </c>
      <c r="E39" s="145">
        <f>E38+85</f>
        <v>-195</v>
      </c>
      <c r="F39" s="1252"/>
      <c r="G39" s="1254"/>
      <c r="H39" s="1251"/>
      <c r="I39" s="53"/>
    </row>
    <row r="40" spans="1:31" s="2" customFormat="1" ht="20.100000000000001" hidden="1" customHeight="1">
      <c r="A40" s="84"/>
      <c r="B40" s="22"/>
      <c r="C40" s="30">
        <f>C39-E2</f>
        <v>-43539</v>
      </c>
      <c r="D40" s="30">
        <f>D39-E2</f>
        <v>-43539</v>
      </c>
      <c r="E40" s="30">
        <f>E39-E2</f>
        <v>-43539</v>
      </c>
      <c r="F40" s="1252"/>
      <c r="G40" s="1254"/>
      <c r="H40" s="1251"/>
      <c r="I40" s="53"/>
    </row>
    <row r="41" spans="1:31" s="2" customFormat="1" ht="20.100000000000001" hidden="1" customHeight="1">
      <c r="A41" s="84"/>
      <c r="B41" s="22"/>
      <c r="C41" s="30">
        <f>30-C40</f>
        <v>43569</v>
      </c>
      <c r="D41" s="30">
        <f>30-D40</f>
        <v>43569</v>
      </c>
      <c r="E41" s="30">
        <f>30-E40</f>
        <v>43569</v>
      </c>
      <c r="F41" s="1252"/>
      <c r="G41" s="1254"/>
      <c r="H41" s="1251"/>
      <c r="I41" s="53"/>
    </row>
    <row r="42" spans="1:31" s="2" customFormat="1" ht="20.100000000000001" hidden="1" customHeight="1">
      <c r="A42" s="84"/>
      <c r="B42" s="22"/>
      <c r="C42" s="30">
        <f>IF(C41&gt;30,30,C41)</f>
        <v>30</v>
      </c>
      <c r="D42" s="30">
        <f>IF(D41&gt;30,30,D41)</f>
        <v>30</v>
      </c>
      <c r="E42" s="30">
        <f>IF(E41&gt;30,30,E41)</f>
        <v>30</v>
      </c>
      <c r="F42" s="1252"/>
      <c r="G42" s="1254"/>
      <c r="H42" s="1251"/>
      <c r="I42" s="53"/>
    </row>
    <row r="43" spans="1:31" s="2" customFormat="1" ht="20.100000000000001" hidden="1" customHeight="1">
      <c r="A43" s="84"/>
      <c r="B43" s="22"/>
      <c r="C43" s="30">
        <f>IF(C39&gt;E2,G2-C40,C42)</f>
        <v>30</v>
      </c>
      <c r="D43" s="30">
        <f>IF(D39&gt;E2,G2-D40,D42)</f>
        <v>30</v>
      </c>
      <c r="E43" s="30">
        <f>IF(E39&gt;E2,G2-E40,E42)</f>
        <v>30</v>
      </c>
      <c r="F43" s="1252"/>
      <c r="G43" s="1254"/>
      <c r="H43" s="1251"/>
      <c r="I43" s="53"/>
    </row>
    <row r="44" spans="1:31" s="2" customFormat="1" ht="18" hidden="1" customHeight="1">
      <c r="A44" s="84"/>
      <c r="B44" s="22"/>
      <c r="C44" s="146">
        <f>IF(C42&gt;0,C33*17/100,0)*C43/30</f>
        <v>70.72</v>
      </c>
      <c r="D44" s="146">
        <f>IF(D42&gt;0,D33*17/100,0)*D43/30</f>
        <v>0</v>
      </c>
      <c r="E44" s="146">
        <f>IF(E42&gt;0,E33*17/100,0)*E43/30</f>
        <v>0</v>
      </c>
      <c r="F44" s="383"/>
      <c r="G44" s="1242"/>
      <c r="H44" s="1241"/>
      <c r="I44" s="53"/>
    </row>
    <row r="45" spans="1:31" s="2" customFormat="1" ht="18" hidden="1" customHeight="1">
      <c r="A45" s="84"/>
      <c r="B45" s="22"/>
      <c r="C45" s="146">
        <f>IF(C37&lt;F2,C44*DAY(C37)/30,C44)</f>
        <v>0</v>
      </c>
      <c r="D45" s="146">
        <f>IF(D37&lt;F2,D44*DAY(D37)/30,D44)</f>
        <v>0</v>
      </c>
      <c r="E45" s="146">
        <f>IF(E37&lt;F2,E44*DAY(E37)/30,E44)</f>
        <v>0</v>
      </c>
      <c r="F45" s="921"/>
      <c r="G45" s="1256"/>
      <c r="H45" s="1257"/>
      <c r="I45" s="270"/>
    </row>
    <row r="46" spans="1:31" s="2" customFormat="1" ht="18" hidden="1" customHeight="1" thickBot="1">
      <c r="A46" s="333" t="s">
        <v>12</v>
      </c>
      <c r="B46" s="648">
        <f>IF(C46="ja",AE90,0)</f>
        <v>0</v>
      </c>
      <c r="C46" s="25" t="str">
        <f>Eingabetabelle!B26</f>
        <v>Ja</v>
      </c>
      <c r="D46" s="1261"/>
      <c r="E46" s="1255"/>
      <c r="F46" s="1259"/>
      <c r="G46" s="1259"/>
      <c r="H46" s="1259"/>
      <c r="I46" s="1260"/>
      <c r="V46" s="3"/>
      <c r="Y46" s="3"/>
      <c r="AA46" s="3"/>
      <c r="AC46" s="3"/>
    </row>
    <row r="47" spans="1:31" s="2" customFormat="1" ht="18" hidden="1" customHeight="1">
      <c r="A47" s="333"/>
      <c r="B47" s="362"/>
      <c r="C47" s="25"/>
      <c r="D47" s="162"/>
      <c r="E47" s="161"/>
      <c r="F47" s="161"/>
      <c r="G47" s="161"/>
      <c r="H47" s="161"/>
      <c r="I47" s="172"/>
      <c r="J47" s="570"/>
      <c r="K47" s="384" t="s">
        <v>117</v>
      </c>
      <c r="L47" s="377"/>
      <c r="M47" s="376"/>
      <c r="N47" s="384" t="s">
        <v>118</v>
      </c>
      <c r="O47" s="377"/>
      <c r="P47" s="376"/>
      <c r="Q47" s="384" t="s">
        <v>119</v>
      </c>
      <c r="R47" s="377"/>
      <c r="S47" s="376"/>
      <c r="T47" s="384" t="s">
        <v>120</v>
      </c>
      <c r="U47" s="384"/>
      <c r="V47" s="2060" t="s">
        <v>121</v>
      </c>
      <c r="W47" s="2061"/>
      <c r="X47" s="388"/>
      <c r="Y47" s="376"/>
      <c r="Z47" s="377" t="s">
        <v>122</v>
      </c>
      <c r="AA47" s="376"/>
      <c r="AB47" s="377" t="s">
        <v>123</v>
      </c>
      <c r="AC47" s="376"/>
      <c r="AD47" s="377" t="s">
        <v>124</v>
      </c>
      <c r="AE47" s="367">
        <f>IF(OR(K48&gt;0,N48&gt;0,Q48&gt;0,T48&gt;0,W48&gt;0,Z48&gt;0,AB48&gt;0,AD48&gt;0),1,0)</f>
        <v>0</v>
      </c>
    </row>
    <row r="48" spans="1:31" s="2" customFormat="1" ht="18" hidden="1" customHeight="1">
      <c r="A48" s="84"/>
      <c r="B48" s="22"/>
      <c r="C48" s="146"/>
      <c r="D48" s="162"/>
      <c r="E48" s="159">
        <f>IF(E$8&gt;$E$2,"",DATEDIF(E$8,$E$2,"y"))</f>
        <v>118</v>
      </c>
      <c r="F48" s="159">
        <f>IF(F$8&gt;$E$2,"",DATEDIF(F$8,$E$2,"y"))</f>
        <v>118</v>
      </c>
      <c r="G48" s="159">
        <f>IF(G$8&gt;$E$2,"",DATEDIF(G$8,$E$2,"y"))</f>
        <v>118</v>
      </c>
      <c r="H48" s="159">
        <f>IF(H$8&gt;$E$2,"",DATEDIF(H$8,$E$2,"y"))</f>
        <v>118</v>
      </c>
      <c r="I48" s="160">
        <f>IF(I$8&gt;$E$2,"",DATEDIF(I$8,$E$2,"y"))</f>
        <v>118</v>
      </c>
      <c r="J48" s="571">
        <f t="shared" ref="J48:J75" si="10">COUNTIF(E48:I48,"&lt;7")</f>
        <v>0</v>
      </c>
      <c r="K48" s="64">
        <f>IF(J48=1,C$23*36%,0)</f>
        <v>0</v>
      </c>
      <c r="L48" s="385">
        <f t="shared" ref="L48:L78" si="11">IF(OR(Q48&gt;0,Z48&gt;0,AB48&gt;0,AD48&gt;0),0,K48)</f>
        <v>0</v>
      </c>
      <c r="M48" s="391">
        <f>SUMPRODUCT((E48:I48&gt;6)*(E48:I48&lt;18))</f>
        <v>0</v>
      </c>
      <c r="N48" s="64">
        <f>IF(AND(K48=0,M48=1),C$23*12%,0)</f>
        <v>0</v>
      </c>
      <c r="O48" s="385">
        <f>IF(OR(Z48&gt;0,AB48&gt;0),0,N48)</f>
        <v>0</v>
      </c>
      <c r="P48" s="399">
        <f>COUNTIF(E48:I48,"&lt;16")</f>
        <v>0</v>
      </c>
      <c r="Q48" s="64">
        <f t="shared" ref="Q48:Q78" si="12">IF(P48=2,C$23*36%,0)</f>
        <v>0</v>
      </c>
      <c r="R48" s="385">
        <f>IF(OR(Z48&gt;0,AB48&gt;0,AD48&gt;0),0,Q48)</f>
        <v>0</v>
      </c>
      <c r="S48" s="380">
        <f>SUMPRODUCT((E48:I48&gt;15)*(E48:I48&lt;18))</f>
        <v>0</v>
      </c>
      <c r="T48" s="382">
        <f t="shared" ref="T48:T78" si="13">IF(S48=2,C$23*24%,0)</f>
        <v>0</v>
      </c>
      <c r="U48" s="64">
        <f>IF(OR(Z48&gt;0,AB48&gt;0,AD48&gt;0),0,T48)</f>
        <v>0</v>
      </c>
      <c r="V48" s="174">
        <f>SUMPRODUCT((E48:I48&gt;6)*(E48:I48&lt;16))+SUMPRODUCT((E48:I48&gt;15)*(E48:I48&lt;18))</f>
        <v>0</v>
      </c>
      <c r="W48" s="64">
        <f t="shared" ref="W48:W78" si="14">IF(AND(Q48=0,V48=2),C$23*24%,0)</f>
        <v>0</v>
      </c>
      <c r="X48" s="385">
        <f>IF(OR(T48&gt;0,Z48&gt;0,AB48&gt;0,AD48&gt;0),0,W48)</f>
        <v>0</v>
      </c>
      <c r="Y48" s="112">
        <f>COUNTIF(E48:I48,"&lt;18")</f>
        <v>0</v>
      </c>
      <c r="Z48" s="116">
        <f t="shared" ref="Z48:Z78" si="15">IF(Y48=3,C$23*36%,0)</f>
        <v>0</v>
      </c>
      <c r="AA48" s="112">
        <f>COUNTIF(E48:I48,"&lt;18")</f>
        <v>0</v>
      </c>
      <c r="AB48" s="116">
        <f t="shared" ref="AB48:AB78" si="16">IF(AA48=4,C$23*48%,0)</f>
        <v>0</v>
      </c>
      <c r="AC48" s="112">
        <f>COUNTIF(E48:I48,"&lt;18")</f>
        <v>0</v>
      </c>
      <c r="AD48" s="116">
        <f t="shared" ref="AD48:AD78" si="17">IF(AC48=5,C$23*60%,0)</f>
        <v>0</v>
      </c>
      <c r="AE48" s="363"/>
    </row>
    <row r="49" spans="1:30" s="2" customFormat="1" ht="18" hidden="1" customHeight="1">
      <c r="A49" s="84"/>
      <c r="B49" s="22"/>
      <c r="C49" s="146"/>
      <c r="D49" s="162"/>
      <c r="E49" s="159">
        <f>IF(E8&gt;$E$2+1,"",DATEDIF(E8,$E$2+1,"y"))</f>
        <v>118</v>
      </c>
      <c r="F49" s="159">
        <f>IF(F8&gt;$E$2+1,"",DATEDIF(F8,$E$2+1,"y"))</f>
        <v>118</v>
      </c>
      <c r="G49" s="159">
        <f>IF(G8&gt;$E$2+1,"",DATEDIF(G8,$E$2+1,"y"))</f>
        <v>118</v>
      </c>
      <c r="H49" s="159">
        <f>IF(H8&gt;$E$2+1,"",DATEDIF(H8,$E$2+1,"y"))</f>
        <v>118</v>
      </c>
      <c r="I49" s="160">
        <f>IF(I8&gt;$E$2+1,"",DATEDIF(I8,$E$2+1,"y"))</f>
        <v>118</v>
      </c>
      <c r="J49" s="571">
        <f t="shared" si="10"/>
        <v>0</v>
      </c>
      <c r="K49" s="64">
        <f t="shared" ref="K49:K78" si="18">IF(J49=1,C$23*36%,0)</f>
        <v>0</v>
      </c>
      <c r="L49" s="385">
        <f t="shared" si="11"/>
        <v>0</v>
      </c>
      <c r="M49" s="391">
        <f t="shared" ref="M49:M75" si="19">SUMPRODUCT((E49:I49&gt;6)*(E49:I49&lt;18))</f>
        <v>0</v>
      </c>
      <c r="N49" s="64">
        <f t="shared" ref="N49:N78" si="20">IF(AND(K49=0,M49=1),C$23*12%,0)</f>
        <v>0</v>
      </c>
      <c r="O49" s="385">
        <f t="shared" ref="O49:O78" si="21">IF(OR(Z49&gt;0,AB49&gt;0),0,N49)</f>
        <v>0</v>
      </c>
      <c r="P49" s="399">
        <f t="shared" ref="P49:P75" si="22">COUNTIF(E49:I49,"&lt;16")</f>
        <v>0</v>
      </c>
      <c r="Q49" s="64">
        <f t="shared" si="12"/>
        <v>0</v>
      </c>
      <c r="R49" s="385">
        <f t="shared" ref="R49:R78" si="23">IF(OR(Z49&gt;0,AB49&gt;0,AD49&gt;0),0,Q49)</f>
        <v>0</v>
      </c>
      <c r="S49" s="380">
        <f t="shared" ref="S49:S75" si="24">SUMPRODUCT((E49:I49&gt;15)*(E49:I49&lt;18))</f>
        <v>0</v>
      </c>
      <c r="T49" s="383">
        <f t="shared" si="13"/>
        <v>0</v>
      </c>
      <c r="U49" s="64">
        <f t="shared" ref="U49:U78" si="25">IF(OR(Z49&gt;0,AB49&gt;0,AD49&gt;0),0,T49)</f>
        <v>0</v>
      </c>
      <c r="V49" s="174">
        <f t="shared" ref="V49:V75" si="26">SUMPRODUCT((E49:I49&gt;6)*(E49:I49&lt;16))+SUMPRODUCT((E49:I49&gt;15)*(E49:I49&lt;18))</f>
        <v>0</v>
      </c>
      <c r="W49" s="64">
        <f t="shared" si="14"/>
        <v>0</v>
      </c>
      <c r="X49" s="385">
        <f t="shared" ref="X49:X78" si="27">IF(OR(T49&gt;0,Z49&gt;0,AB49&gt;0,AD49&gt;0),0,W49)</f>
        <v>0</v>
      </c>
      <c r="Y49" s="79">
        <f t="shared" ref="Y49:Y75" si="28">COUNTIF(E49:I49,"&lt;18")</f>
        <v>0</v>
      </c>
      <c r="Z49" s="53">
        <f t="shared" si="15"/>
        <v>0</v>
      </c>
      <c r="AA49" s="79">
        <f t="shared" ref="AA49:AA75" si="29">COUNTIF(E49:I49,"&lt;18")</f>
        <v>0</v>
      </c>
      <c r="AB49" s="53">
        <f t="shared" si="16"/>
        <v>0</v>
      </c>
      <c r="AC49" s="79">
        <f t="shared" ref="AC49:AC75" si="30">COUNTIF(E49:I49,"&lt;18")</f>
        <v>0</v>
      </c>
      <c r="AD49" s="53">
        <f t="shared" si="17"/>
        <v>0</v>
      </c>
    </row>
    <row r="50" spans="1:30" s="2" customFormat="1" ht="18" hidden="1" customHeight="1">
      <c r="A50" s="84"/>
      <c r="B50" s="22"/>
      <c r="C50" s="146"/>
      <c r="D50" s="162"/>
      <c r="E50" s="159">
        <f>IF(E8&gt;$E$2+2,"",DATEDIF(E8,$E$2+2,"y"))</f>
        <v>118</v>
      </c>
      <c r="F50" s="159">
        <f>IF(F8&gt;$E$2+2,"",DATEDIF(F8,$E$2+2,"y"))</f>
        <v>118</v>
      </c>
      <c r="G50" s="159">
        <f>IF(G8&gt;$E$2+2,"",DATEDIF(G8,$E$2+2,"y"))</f>
        <v>118</v>
      </c>
      <c r="H50" s="159">
        <f>IF(H8&gt;$E$2+2,"",DATEDIF(H8,$E$2+2,"y"))</f>
        <v>118</v>
      </c>
      <c r="I50" s="160">
        <f>IF(I8&gt;$E$2+2,"",DATEDIF(I8,$E$2+2,"y"))</f>
        <v>118</v>
      </c>
      <c r="J50" s="571">
        <f t="shared" si="10"/>
        <v>0</v>
      </c>
      <c r="K50" s="64">
        <f t="shared" si="18"/>
        <v>0</v>
      </c>
      <c r="L50" s="385">
        <f t="shared" si="11"/>
        <v>0</v>
      </c>
      <c r="M50" s="391">
        <f t="shared" si="19"/>
        <v>0</v>
      </c>
      <c r="N50" s="64">
        <f t="shared" si="20"/>
        <v>0</v>
      </c>
      <c r="O50" s="385">
        <f t="shared" si="21"/>
        <v>0</v>
      </c>
      <c r="P50" s="399">
        <f t="shared" si="22"/>
        <v>0</v>
      </c>
      <c r="Q50" s="64">
        <f t="shared" si="12"/>
        <v>0</v>
      </c>
      <c r="R50" s="385">
        <f t="shared" si="23"/>
        <v>0</v>
      </c>
      <c r="S50" s="380">
        <f t="shared" si="24"/>
        <v>0</v>
      </c>
      <c r="T50" s="383">
        <f t="shared" si="13"/>
        <v>0</v>
      </c>
      <c r="U50" s="64">
        <f t="shared" si="25"/>
        <v>0</v>
      </c>
      <c r="V50" s="174">
        <f t="shared" si="26"/>
        <v>0</v>
      </c>
      <c r="W50" s="64">
        <f t="shared" si="14"/>
        <v>0</v>
      </c>
      <c r="X50" s="385">
        <f t="shared" si="27"/>
        <v>0</v>
      </c>
      <c r="Y50" s="79">
        <f t="shared" si="28"/>
        <v>0</v>
      </c>
      <c r="Z50" s="53">
        <f t="shared" si="15"/>
        <v>0</v>
      </c>
      <c r="AA50" s="79">
        <f t="shared" si="29"/>
        <v>0</v>
      </c>
      <c r="AB50" s="53">
        <f t="shared" si="16"/>
        <v>0</v>
      </c>
      <c r="AC50" s="79">
        <f t="shared" si="30"/>
        <v>0</v>
      </c>
      <c r="AD50" s="53">
        <f t="shared" si="17"/>
        <v>0</v>
      </c>
    </row>
    <row r="51" spans="1:30" s="2" customFormat="1" ht="18" hidden="1" customHeight="1">
      <c r="A51" s="84"/>
      <c r="B51" s="22"/>
      <c r="C51" s="146"/>
      <c r="D51" s="162"/>
      <c r="E51" s="159">
        <f>IF(E8&gt;$E$2+3,"",DATEDIF(E8,$E$2+3,"y"))</f>
        <v>118</v>
      </c>
      <c r="F51" s="159">
        <f>IF(F8&gt;$E$2+3,"",DATEDIF(F8,$E$2+3,"y"))</f>
        <v>118</v>
      </c>
      <c r="G51" s="159">
        <f>IF(G8&gt;$E$2+3,"",DATEDIF(G8,$E$2+3,"y"))</f>
        <v>118</v>
      </c>
      <c r="H51" s="159">
        <f>IF(H8&gt;$E$2+3,"",DATEDIF(H8,$E$2+3,"y"))</f>
        <v>118</v>
      </c>
      <c r="I51" s="160">
        <f>IF(I8&gt;$E$2+3,"",DATEDIF(I8,$E$2+3,"y"))</f>
        <v>118</v>
      </c>
      <c r="J51" s="571">
        <f t="shared" si="10"/>
        <v>0</v>
      </c>
      <c r="K51" s="64">
        <f t="shared" si="18"/>
        <v>0</v>
      </c>
      <c r="L51" s="385">
        <f t="shared" si="11"/>
        <v>0</v>
      </c>
      <c r="M51" s="391">
        <f t="shared" si="19"/>
        <v>0</v>
      </c>
      <c r="N51" s="64">
        <f t="shared" si="20"/>
        <v>0</v>
      </c>
      <c r="O51" s="385">
        <f t="shared" si="21"/>
        <v>0</v>
      </c>
      <c r="P51" s="399">
        <f t="shared" si="22"/>
        <v>0</v>
      </c>
      <c r="Q51" s="64">
        <f t="shared" si="12"/>
        <v>0</v>
      </c>
      <c r="R51" s="385">
        <f t="shared" si="23"/>
        <v>0</v>
      </c>
      <c r="S51" s="380">
        <f t="shared" si="24"/>
        <v>0</v>
      </c>
      <c r="T51" s="383">
        <f t="shared" si="13"/>
        <v>0</v>
      </c>
      <c r="U51" s="64">
        <f t="shared" si="25"/>
        <v>0</v>
      </c>
      <c r="V51" s="174">
        <f t="shared" si="26"/>
        <v>0</v>
      </c>
      <c r="W51" s="64">
        <f t="shared" si="14"/>
        <v>0</v>
      </c>
      <c r="X51" s="385">
        <f t="shared" si="27"/>
        <v>0</v>
      </c>
      <c r="Y51" s="79">
        <f t="shared" si="28"/>
        <v>0</v>
      </c>
      <c r="Z51" s="53">
        <f t="shared" si="15"/>
        <v>0</v>
      </c>
      <c r="AA51" s="79">
        <f t="shared" si="29"/>
        <v>0</v>
      </c>
      <c r="AB51" s="53">
        <f t="shared" si="16"/>
        <v>0</v>
      </c>
      <c r="AC51" s="79">
        <f t="shared" si="30"/>
        <v>0</v>
      </c>
      <c r="AD51" s="53">
        <f t="shared" si="17"/>
        <v>0</v>
      </c>
    </row>
    <row r="52" spans="1:30" s="2" customFormat="1" ht="18" hidden="1" customHeight="1">
      <c r="A52" s="84"/>
      <c r="B52" s="22"/>
      <c r="C52" s="146"/>
      <c r="D52" s="162"/>
      <c r="E52" s="159">
        <f>IF(E8&gt;$E$2+4,"",DATEDIF(E8,$E$2+4,"y"))</f>
        <v>118</v>
      </c>
      <c r="F52" s="159">
        <f>IF(F8&gt;$E$2+4,"",DATEDIF(F8,$E$2+4,"y"))</f>
        <v>118</v>
      </c>
      <c r="G52" s="159">
        <f>IF(G8&gt;$E$2+4,"",DATEDIF(G8,$E$2+4,"y"))</f>
        <v>118</v>
      </c>
      <c r="H52" s="159">
        <f>IF(H8&gt;$E$2+4,"",DATEDIF(H8,$E$2+4,"y"))</f>
        <v>118</v>
      </c>
      <c r="I52" s="160">
        <f>IF(I8&gt;$E$2+4,"",DATEDIF(I8,$E$2+4,"y"))</f>
        <v>118</v>
      </c>
      <c r="J52" s="571">
        <f t="shared" si="10"/>
        <v>0</v>
      </c>
      <c r="K52" s="64">
        <f t="shared" si="18"/>
        <v>0</v>
      </c>
      <c r="L52" s="385">
        <f t="shared" si="11"/>
        <v>0</v>
      </c>
      <c r="M52" s="391">
        <f t="shared" si="19"/>
        <v>0</v>
      </c>
      <c r="N52" s="64">
        <f t="shared" si="20"/>
        <v>0</v>
      </c>
      <c r="O52" s="385">
        <f t="shared" si="21"/>
        <v>0</v>
      </c>
      <c r="P52" s="399">
        <f t="shared" si="22"/>
        <v>0</v>
      </c>
      <c r="Q52" s="64">
        <f t="shared" si="12"/>
        <v>0</v>
      </c>
      <c r="R52" s="385">
        <f t="shared" si="23"/>
        <v>0</v>
      </c>
      <c r="S52" s="380">
        <f t="shared" si="24"/>
        <v>0</v>
      </c>
      <c r="T52" s="383">
        <f t="shared" si="13"/>
        <v>0</v>
      </c>
      <c r="U52" s="64">
        <f t="shared" si="25"/>
        <v>0</v>
      </c>
      <c r="V52" s="174">
        <f t="shared" si="26"/>
        <v>0</v>
      </c>
      <c r="W52" s="64">
        <f t="shared" si="14"/>
        <v>0</v>
      </c>
      <c r="X52" s="385">
        <f t="shared" si="27"/>
        <v>0</v>
      </c>
      <c r="Y52" s="79">
        <f t="shared" si="28"/>
        <v>0</v>
      </c>
      <c r="Z52" s="53">
        <f t="shared" si="15"/>
        <v>0</v>
      </c>
      <c r="AA52" s="79">
        <f t="shared" si="29"/>
        <v>0</v>
      </c>
      <c r="AB52" s="53">
        <f t="shared" si="16"/>
        <v>0</v>
      </c>
      <c r="AC52" s="79">
        <f t="shared" si="30"/>
        <v>0</v>
      </c>
      <c r="AD52" s="53">
        <f t="shared" si="17"/>
        <v>0</v>
      </c>
    </row>
    <row r="53" spans="1:30" s="2" customFormat="1" ht="18" hidden="1" customHeight="1">
      <c r="A53" s="84"/>
      <c r="B53" s="22"/>
      <c r="C53" s="146"/>
      <c r="D53" s="162"/>
      <c r="E53" s="159">
        <f>IF(E8&gt;$E$2+5,"",DATEDIF(E8,$E$2+5,"y"))</f>
        <v>118</v>
      </c>
      <c r="F53" s="159">
        <f>IF(F8&gt;$E$2+5,"",DATEDIF(F8,$E$2+5,"y"))</f>
        <v>118</v>
      </c>
      <c r="G53" s="159">
        <f>IF(G8&gt;$E$2+5,"",DATEDIF(G8,$E$2+5,"y"))</f>
        <v>118</v>
      </c>
      <c r="H53" s="159">
        <f>IF(H8&gt;$E$2+5,"",DATEDIF(H8,$E$2+5,"y"))</f>
        <v>118</v>
      </c>
      <c r="I53" s="160">
        <f>IF(I8&gt;$E$2+5,"",DATEDIF(I8,$E$2+5,"y"))</f>
        <v>118</v>
      </c>
      <c r="J53" s="571">
        <f t="shared" si="10"/>
        <v>0</v>
      </c>
      <c r="K53" s="64">
        <f t="shared" si="18"/>
        <v>0</v>
      </c>
      <c r="L53" s="385">
        <f t="shared" si="11"/>
        <v>0</v>
      </c>
      <c r="M53" s="391">
        <f t="shared" si="19"/>
        <v>0</v>
      </c>
      <c r="N53" s="64">
        <f t="shared" si="20"/>
        <v>0</v>
      </c>
      <c r="O53" s="385">
        <f t="shared" si="21"/>
        <v>0</v>
      </c>
      <c r="P53" s="399">
        <f t="shared" si="22"/>
        <v>0</v>
      </c>
      <c r="Q53" s="64">
        <f t="shared" si="12"/>
        <v>0</v>
      </c>
      <c r="R53" s="385">
        <f t="shared" si="23"/>
        <v>0</v>
      </c>
      <c r="S53" s="380">
        <f t="shared" si="24"/>
        <v>0</v>
      </c>
      <c r="T53" s="383">
        <f t="shared" si="13"/>
        <v>0</v>
      </c>
      <c r="U53" s="64">
        <f t="shared" si="25"/>
        <v>0</v>
      </c>
      <c r="V53" s="174">
        <f t="shared" si="26"/>
        <v>0</v>
      </c>
      <c r="W53" s="64">
        <f t="shared" si="14"/>
        <v>0</v>
      </c>
      <c r="X53" s="385">
        <f t="shared" si="27"/>
        <v>0</v>
      </c>
      <c r="Y53" s="79">
        <f t="shared" si="28"/>
        <v>0</v>
      </c>
      <c r="Z53" s="53">
        <f t="shared" si="15"/>
        <v>0</v>
      </c>
      <c r="AA53" s="79">
        <f t="shared" si="29"/>
        <v>0</v>
      </c>
      <c r="AB53" s="53">
        <f t="shared" si="16"/>
        <v>0</v>
      </c>
      <c r="AC53" s="79">
        <f t="shared" si="30"/>
        <v>0</v>
      </c>
      <c r="AD53" s="53">
        <f t="shared" si="17"/>
        <v>0</v>
      </c>
    </row>
    <row r="54" spans="1:30" s="2" customFormat="1" ht="18" hidden="1" customHeight="1">
      <c r="A54" s="84"/>
      <c r="B54" s="22"/>
      <c r="C54" s="146"/>
      <c r="D54" s="162"/>
      <c r="E54" s="159">
        <f>IF(E8&gt;$E$2+6,"",DATEDIF(E8,$E$2+6,"y"))</f>
        <v>118</v>
      </c>
      <c r="F54" s="159">
        <f>IF(F8&gt;$E$2+6,"",DATEDIF(F8,$E$2+6,"y"))</f>
        <v>118</v>
      </c>
      <c r="G54" s="159">
        <f>IF(G8&gt;$E$2+6,"",DATEDIF(G8,$E$2+6,"y"))</f>
        <v>118</v>
      </c>
      <c r="H54" s="159">
        <f>IF(H8&gt;$E$2+6,"",DATEDIF(H8,$E$2+6,"y"))</f>
        <v>118</v>
      </c>
      <c r="I54" s="160">
        <f>IF(I8&gt;$E$2+6,"",DATEDIF(I8,$E$2+6,"y"))</f>
        <v>118</v>
      </c>
      <c r="J54" s="571">
        <f t="shared" si="10"/>
        <v>0</v>
      </c>
      <c r="K54" s="64">
        <f t="shared" si="18"/>
        <v>0</v>
      </c>
      <c r="L54" s="385">
        <f t="shared" si="11"/>
        <v>0</v>
      </c>
      <c r="M54" s="391">
        <f t="shared" si="19"/>
        <v>0</v>
      </c>
      <c r="N54" s="64">
        <f t="shared" si="20"/>
        <v>0</v>
      </c>
      <c r="O54" s="385">
        <f t="shared" si="21"/>
        <v>0</v>
      </c>
      <c r="P54" s="399">
        <f t="shared" si="22"/>
        <v>0</v>
      </c>
      <c r="Q54" s="64">
        <f t="shared" si="12"/>
        <v>0</v>
      </c>
      <c r="R54" s="385">
        <f t="shared" si="23"/>
        <v>0</v>
      </c>
      <c r="S54" s="380">
        <f t="shared" si="24"/>
        <v>0</v>
      </c>
      <c r="T54" s="383">
        <f t="shared" si="13"/>
        <v>0</v>
      </c>
      <c r="U54" s="64">
        <f t="shared" si="25"/>
        <v>0</v>
      </c>
      <c r="V54" s="174">
        <f t="shared" si="26"/>
        <v>0</v>
      </c>
      <c r="W54" s="64">
        <f t="shared" si="14"/>
        <v>0</v>
      </c>
      <c r="X54" s="385">
        <f t="shared" si="27"/>
        <v>0</v>
      </c>
      <c r="Y54" s="79">
        <f t="shared" si="28"/>
        <v>0</v>
      </c>
      <c r="Z54" s="53">
        <f t="shared" si="15"/>
        <v>0</v>
      </c>
      <c r="AA54" s="79">
        <f t="shared" si="29"/>
        <v>0</v>
      </c>
      <c r="AB54" s="53">
        <f t="shared" si="16"/>
        <v>0</v>
      </c>
      <c r="AC54" s="79">
        <f t="shared" si="30"/>
        <v>0</v>
      </c>
      <c r="AD54" s="53">
        <f t="shared" si="17"/>
        <v>0</v>
      </c>
    </row>
    <row r="55" spans="1:30" s="2" customFormat="1" ht="18" hidden="1" customHeight="1">
      <c r="A55" s="84"/>
      <c r="B55" s="22"/>
      <c r="C55" s="146"/>
      <c r="D55" s="162"/>
      <c r="E55" s="159">
        <f>IF(E8&gt;$E$2+7,"",DATEDIF(E8,$E$2+7,"y"))</f>
        <v>118</v>
      </c>
      <c r="F55" s="159">
        <f>IF(F8&gt;$E$2+7,"",DATEDIF(F8,$E$2+7,"y"))</f>
        <v>118</v>
      </c>
      <c r="G55" s="159">
        <f>IF(G8&gt;$E$2+7,"",DATEDIF(G8,$E$2+7,"y"))</f>
        <v>118</v>
      </c>
      <c r="H55" s="159">
        <f>IF(H8&gt;$E$2+7,"",DATEDIF(H8,$E$2+7,"y"))</f>
        <v>118</v>
      </c>
      <c r="I55" s="160">
        <f>IF(I8&gt;$E$2+7,"",DATEDIF(I8,$E$2+7,"y"))</f>
        <v>118</v>
      </c>
      <c r="J55" s="571">
        <f t="shared" si="10"/>
        <v>0</v>
      </c>
      <c r="K55" s="64">
        <f t="shared" si="18"/>
        <v>0</v>
      </c>
      <c r="L55" s="385">
        <f t="shared" si="11"/>
        <v>0</v>
      </c>
      <c r="M55" s="391">
        <f t="shared" si="19"/>
        <v>0</v>
      </c>
      <c r="N55" s="64">
        <f t="shared" si="20"/>
        <v>0</v>
      </c>
      <c r="O55" s="385">
        <f t="shared" si="21"/>
        <v>0</v>
      </c>
      <c r="P55" s="399">
        <f t="shared" si="22"/>
        <v>0</v>
      </c>
      <c r="Q55" s="64">
        <f t="shared" si="12"/>
        <v>0</v>
      </c>
      <c r="R55" s="385">
        <f t="shared" si="23"/>
        <v>0</v>
      </c>
      <c r="S55" s="380">
        <f t="shared" si="24"/>
        <v>0</v>
      </c>
      <c r="T55" s="383">
        <f t="shared" si="13"/>
        <v>0</v>
      </c>
      <c r="U55" s="64">
        <f t="shared" si="25"/>
        <v>0</v>
      </c>
      <c r="V55" s="174">
        <f t="shared" si="26"/>
        <v>0</v>
      </c>
      <c r="W55" s="64">
        <f t="shared" si="14"/>
        <v>0</v>
      </c>
      <c r="X55" s="385">
        <f t="shared" si="27"/>
        <v>0</v>
      </c>
      <c r="Y55" s="79">
        <f t="shared" si="28"/>
        <v>0</v>
      </c>
      <c r="Z55" s="53">
        <f t="shared" si="15"/>
        <v>0</v>
      </c>
      <c r="AA55" s="79">
        <f t="shared" si="29"/>
        <v>0</v>
      </c>
      <c r="AB55" s="53">
        <f t="shared" si="16"/>
        <v>0</v>
      </c>
      <c r="AC55" s="79">
        <f t="shared" si="30"/>
        <v>0</v>
      </c>
      <c r="AD55" s="53">
        <f t="shared" si="17"/>
        <v>0</v>
      </c>
    </row>
    <row r="56" spans="1:30" s="2" customFormat="1" ht="18" hidden="1" customHeight="1">
      <c r="A56" s="84"/>
      <c r="B56" s="22"/>
      <c r="C56" s="146"/>
      <c r="D56" s="162"/>
      <c r="E56" s="159">
        <f>IF(E8&gt;$E$2+8,"",DATEDIF(E8,$E$2+8,"y"))</f>
        <v>118</v>
      </c>
      <c r="F56" s="159">
        <f>IF(F8&gt;$E$2+8,"",DATEDIF(F8,$E$2+8,"y"))</f>
        <v>118</v>
      </c>
      <c r="G56" s="159">
        <f>IF(G8&gt;$E$2+8,"",DATEDIF(G8,$E$2+8,"y"))</f>
        <v>118</v>
      </c>
      <c r="H56" s="159">
        <f>IF(H8&gt;$E$2+8,"",DATEDIF(H8,$E$2+8,"y"))</f>
        <v>118</v>
      </c>
      <c r="I56" s="160">
        <f>IF(I8&gt;$E$2+8,"",DATEDIF(I8,$E$2+8,"y"))</f>
        <v>118</v>
      </c>
      <c r="J56" s="571">
        <f t="shared" si="10"/>
        <v>0</v>
      </c>
      <c r="K56" s="64">
        <f t="shared" si="18"/>
        <v>0</v>
      </c>
      <c r="L56" s="385">
        <f t="shared" si="11"/>
        <v>0</v>
      </c>
      <c r="M56" s="391">
        <f t="shared" si="19"/>
        <v>0</v>
      </c>
      <c r="N56" s="64">
        <f t="shared" si="20"/>
        <v>0</v>
      </c>
      <c r="O56" s="385">
        <f t="shared" si="21"/>
        <v>0</v>
      </c>
      <c r="P56" s="399">
        <f t="shared" si="22"/>
        <v>0</v>
      </c>
      <c r="Q56" s="64">
        <f t="shared" si="12"/>
        <v>0</v>
      </c>
      <c r="R56" s="385">
        <f t="shared" si="23"/>
        <v>0</v>
      </c>
      <c r="S56" s="380">
        <f t="shared" si="24"/>
        <v>0</v>
      </c>
      <c r="T56" s="383">
        <f t="shared" si="13"/>
        <v>0</v>
      </c>
      <c r="U56" s="64">
        <f t="shared" si="25"/>
        <v>0</v>
      </c>
      <c r="V56" s="174">
        <f t="shared" si="26"/>
        <v>0</v>
      </c>
      <c r="W56" s="64">
        <f t="shared" si="14"/>
        <v>0</v>
      </c>
      <c r="X56" s="385">
        <f t="shared" si="27"/>
        <v>0</v>
      </c>
      <c r="Y56" s="79">
        <f t="shared" si="28"/>
        <v>0</v>
      </c>
      <c r="Z56" s="53">
        <f t="shared" si="15"/>
        <v>0</v>
      </c>
      <c r="AA56" s="79">
        <f t="shared" si="29"/>
        <v>0</v>
      </c>
      <c r="AB56" s="53">
        <f t="shared" si="16"/>
        <v>0</v>
      </c>
      <c r="AC56" s="79">
        <f t="shared" si="30"/>
        <v>0</v>
      </c>
      <c r="AD56" s="53">
        <f t="shared" si="17"/>
        <v>0</v>
      </c>
    </row>
    <row r="57" spans="1:30" s="2" customFormat="1" ht="18" hidden="1" customHeight="1">
      <c r="A57" s="84"/>
      <c r="B57" s="22"/>
      <c r="C57" s="146"/>
      <c r="D57" s="162"/>
      <c r="E57" s="159">
        <f>IF(E8&gt;$E$2+9,"",DATEDIF(E8,$E$2+9,"y"))</f>
        <v>118</v>
      </c>
      <c r="F57" s="159">
        <f>IF(F8&gt;$E$2+9,"",DATEDIF(F8,$E$2+9,"y"))</f>
        <v>118</v>
      </c>
      <c r="G57" s="159">
        <f>IF(G8&gt;$E$2+9,"",DATEDIF(G8,$E$2+9,"y"))</f>
        <v>118</v>
      </c>
      <c r="H57" s="159">
        <f>IF(H8&gt;$E$2+9,"",DATEDIF(H8,$E$2+9,"y"))</f>
        <v>118</v>
      </c>
      <c r="I57" s="160">
        <f>IF(I8&gt;$E$2+9,"",DATEDIF(I8,$E$2+9,"y"))</f>
        <v>118</v>
      </c>
      <c r="J57" s="571">
        <f t="shared" si="10"/>
        <v>0</v>
      </c>
      <c r="K57" s="64">
        <f t="shared" si="18"/>
        <v>0</v>
      </c>
      <c r="L57" s="385">
        <f t="shared" si="11"/>
        <v>0</v>
      </c>
      <c r="M57" s="391">
        <f t="shared" si="19"/>
        <v>0</v>
      </c>
      <c r="N57" s="64">
        <f t="shared" si="20"/>
        <v>0</v>
      </c>
      <c r="O57" s="385">
        <f t="shared" si="21"/>
        <v>0</v>
      </c>
      <c r="P57" s="399">
        <f t="shared" si="22"/>
        <v>0</v>
      </c>
      <c r="Q57" s="64">
        <f t="shared" si="12"/>
        <v>0</v>
      </c>
      <c r="R57" s="385">
        <f t="shared" si="23"/>
        <v>0</v>
      </c>
      <c r="S57" s="380">
        <f t="shared" si="24"/>
        <v>0</v>
      </c>
      <c r="T57" s="383">
        <f t="shared" si="13"/>
        <v>0</v>
      </c>
      <c r="U57" s="64">
        <f t="shared" si="25"/>
        <v>0</v>
      </c>
      <c r="V57" s="174">
        <f t="shared" si="26"/>
        <v>0</v>
      </c>
      <c r="W57" s="64">
        <f t="shared" si="14"/>
        <v>0</v>
      </c>
      <c r="X57" s="385">
        <f t="shared" si="27"/>
        <v>0</v>
      </c>
      <c r="Y57" s="79">
        <f t="shared" si="28"/>
        <v>0</v>
      </c>
      <c r="Z57" s="53">
        <f t="shared" si="15"/>
        <v>0</v>
      </c>
      <c r="AA57" s="79">
        <f t="shared" si="29"/>
        <v>0</v>
      </c>
      <c r="AB57" s="53">
        <f t="shared" si="16"/>
        <v>0</v>
      </c>
      <c r="AC57" s="79">
        <f t="shared" si="30"/>
        <v>0</v>
      </c>
      <c r="AD57" s="53">
        <f t="shared" si="17"/>
        <v>0</v>
      </c>
    </row>
    <row r="58" spans="1:30" s="2" customFormat="1" ht="18" hidden="1" customHeight="1">
      <c r="A58" s="84"/>
      <c r="B58" s="22"/>
      <c r="C58" s="146"/>
      <c r="D58" s="162"/>
      <c r="E58" s="159">
        <f>IF(E8&gt;$E$2+10,"",DATEDIF(E8,$E$2+10,"y"))</f>
        <v>118</v>
      </c>
      <c r="F58" s="159">
        <f>IF(F8&gt;$E$2+10,"",DATEDIF(F8,$E$2+10,"y"))</f>
        <v>118</v>
      </c>
      <c r="G58" s="159">
        <f>IF(G8&gt;$E$2+10,"",DATEDIF(G8,$E$2+10,"y"))</f>
        <v>118</v>
      </c>
      <c r="H58" s="159">
        <f>IF(H8&gt;$E$2+10,"",DATEDIF(H8,$E$2+10,"y"))</f>
        <v>118</v>
      </c>
      <c r="I58" s="160">
        <f>IF(I8&gt;$E$2+10,"",DATEDIF(I8,$E$2+10,"y"))</f>
        <v>118</v>
      </c>
      <c r="J58" s="571">
        <f t="shared" si="10"/>
        <v>0</v>
      </c>
      <c r="K58" s="64">
        <f t="shared" si="18"/>
        <v>0</v>
      </c>
      <c r="L58" s="385">
        <f t="shared" si="11"/>
        <v>0</v>
      </c>
      <c r="M58" s="391">
        <f t="shared" si="19"/>
        <v>0</v>
      </c>
      <c r="N58" s="64">
        <f t="shared" si="20"/>
        <v>0</v>
      </c>
      <c r="O58" s="385">
        <f t="shared" si="21"/>
        <v>0</v>
      </c>
      <c r="P58" s="399">
        <f t="shared" si="22"/>
        <v>0</v>
      </c>
      <c r="Q58" s="64">
        <f t="shared" si="12"/>
        <v>0</v>
      </c>
      <c r="R58" s="385">
        <f t="shared" si="23"/>
        <v>0</v>
      </c>
      <c r="S58" s="380">
        <f t="shared" si="24"/>
        <v>0</v>
      </c>
      <c r="T58" s="383">
        <f t="shared" si="13"/>
        <v>0</v>
      </c>
      <c r="U58" s="64">
        <f t="shared" si="25"/>
        <v>0</v>
      </c>
      <c r="V58" s="174">
        <f t="shared" si="26"/>
        <v>0</v>
      </c>
      <c r="W58" s="64">
        <f t="shared" si="14"/>
        <v>0</v>
      </c>
      <c r="X58" s="385">
        <f t="shared" si="27"/>
        <v>0</v>
      </c>
      <c r="Y58" s="79">
        <f t="shared" si="28"/>
        <v>0</v>
      </c>
      <c r="Z58" s="53">
        <f t="shared" si="15"/>
        <v>0</v>
      </c>
      <c r="AA58" s="79">
        <f t="shared" si="29"/>
        <v>0</v>
      </c>
      <c r="AB58" s="53">
        <f t="shared" si="16"/>
        <v>0</v>
      </c>
      <c r="AC58" s="79">
        <f t="shared" si="30"/>
        <v>0</v>
      </c>
      <c r="AD58" s="53">
        <f t="shared" si="17"/>
        <v>0</v>
      </c>
    </row>
    <row r="59" spans="1:30" s="2" customFormat="1" ht="18" hidden="1" customHeight="1">
      <c r="A59" s="84"/>
      <c r="B59" s="22"/>
      <c r="C59" s="146"/>
      <c r="D59" s="162"/>
      <c r="E59" s="159">
        <f>IF(E8&gt;$E$2+11,"",DATEDIF(E8,$E$2+11,"y"))</f>
        <v>118</v>
      </c>
      <c r="F59" s="159">
        <f>IF(F8&gt;$E$2+11,"",DATEDIF(F8,$E$2+11,"y"))</f>
        <v>118</v>
      </c>
      <c r="G59" s="159">
        <f>IF(G8&gt;$E$2+11,"",DATEDIF(G8,$E$2+11,"y"))</f>
        <v>118</v>
      </c>
      <c r="H59" s="159">
        <f>IF(H8&gt;$E$2+11,"",DATEDIF(H8,$E$2+11,"y"))</f>
        <v>118</v>
      </c>
      <c r="I59" s="160">
        <f>IF(I8&gt;$E$2+11,"",DATEDIF(I8,$E$2+11,"y"))</f>
        <v>118</v>
      </c>
      <c r="J59" s="571">
        <f t="shared" si="10"/>
        <v>0</v>
      </c>
      <c r="K59" s="64">
        <f t="shared" si="18"/>
        <v>0</v>
      </c>
      <c r="L59" s="385">
        <f t="shared" si="11"/>
        <v>0</v>
      </c>
      <c r="M59" s="391">
        <f t="shared" si="19"/>
        <v>0</v>
      </c>
      <c r="N59" s="64">
        <f t="shared" si="20"/>
        <v>0</v>
      </c>
      <c r="O59" s="385">
        <f t="shared" si="21"/>
        <v>0</v>
      </c>
      <c r="P59" s="399">
        <f t="shared" si="22"/>
        <v>0</v>
      </c>
      <c r="Q59" s="64">
        <f t="shared" si="12"/>
        <v>0</v>
      </c>
      <c r="R59" s="385">
        <f t="shared" si="23"/>
        <v>0</v>
      </c>
      <c r="S59" s="380">
        <f t="shared" si="24"/>
        <v>0</v>
      </c>
      <c r="T59" s="383">
        <f t="shared" si="13"/>
        <v>0</v>
      </c>
      <c r="U59" s="64">
        <f t="shared" si="25"/>
        <v>0</v>
      </c>
      <c r="V59" s="174">
        <f t="shared" si="26"/>
        <v>0</v>
      </c>
      <c r="W59" s="64">
        <f t="shared" si="14"/>
        <v>0</v>
      </c>
      <c r="X59" s="385">
        <f t="shared" si="27"/>
        <v>0</v>
      </c>
      <c r="Y59" s="79">
        <f t="shared" si="28"/>
        <v>0</v>
      </c>
      <c r="Z59" s="53">
        <f t="shared" si="15"/>
        <v>0</v>
      </c>
      <c r="AA59" s="79">
        <f t="shared" si="29"/>
        <v>0</v>
      </c>
      <c r="AB59" s="53">
        <f t="shared" si="16"/>
        <v>0</v>
      </c>
      <c r="AC59" s="79">
        <f t="shared" si="30"/>
        <v>0</v>
      </c>
      <c r="AD59" s="53">
        <f t="shared" si="17"/>
        <v>0</v>
      </c>
    </row>
    <row r="60" spans="1:30" s="2" customFormat="1" ht="18" hidden="1" customHeight="1">
      <c r="A60" s="84"/>
      <c r="B60" s="22"/>
      <c r="C60" s="146"/>
      <c r="D60" s="162"/>
      <c r="E60" s="159">
        <f>IF(E8&gt;$E$2+12,"",DATEDIF(E8,$E$2+12,"y"))</f>
        <v>118</v>
      </c>
      <c r="F60" s="159">
        <f>IF(F8&gt;$E$2+12,"",DATEDIF(F8,$E$2+12,"y"))</f>
        <v>118</v>
      </c>
      <c r="G60" s="159">
        <f>IF(G8&gt;$E$2+12,"",DATEDIF(G8,$E$2+12,"y"))</f>
        <v>118</v>
      </c>
      <c r="H60" s="159">
        <f>IF(H8&gt;$E$2+12,"",DATEDIF(H8,$E$2+12,"y"))</f>
        <v>118</v>
      </c>
      <c r="I60" s="160">
        <f>IF(I8&gt;$E$2+12,"",DATEDIF(I8,$E$2+12,"y"))</f>
        <v>118</v>
      </c>
      <c r="J60" s="571">
        <f t="shared" si="10"/>
        <v>0</v>
      </c>
      <c r="K60" s="64">
        <f t="shared" si="18"/>
        <v>0</v>
      </c>
      <c r="L60" s="385">
        <f t="shared" si="11"/>
        <v>0</v>
      </c>
      <c r="M60" s="391">
        <f t="shared" si="19"/>
        <v>0</v>
      </c>
      <c r="N60" s="64">
        <f t="shared" si="20"/>
        <v>0</v>
      </c>
      <c r="O60" s="385">
        <f t="shared" si="21"/>
        <v>0</v>
      </c>
      <c r="P60" s="399">
        <f t="shared" si="22"/>
        <v>0</v>
      </c>
      <c r="Q60" s="64">
        <f t="shared" si="12"/>
        <v>0</v>
      </c>
      <c r="R60" s="385">
        <f t="shared" si="23"/>
        <v>0</v>
      </c>
      <c r="S60" s="380">
        <f t="shared" si="24"/>
        <v>0</v>
      </c>
      <c r="T60" s="383">
        <f t="shared" si="13"/>
        <v>0</v>
      </c>
      <c r="U60" s="64">
        <f t="shared" si="25"/>
        <v>0</v>
      </c>
      <c r="V60" s="174">
        <f t="shared" si="26"/>
        <v>0</v>
      </c>
      <c r="W60" s="64">
        <f t="shared" si="14"/>
        <v>0</v>
      </c>
      <c r="X60" s="385">
        <f t="shared" si="27"/>
        <v>0</v>
      </c>
      <c r="Y60" s="79">
        <f t="shared" si="28"/>
        <v>0</v>
      </c>
      <c r="Z60" s="53">
        <f t="shared" si="15"/>
        <v>0</v>
      </c>
      <c r="AA60" s="79">
        <f t="shared" si="29"/>
        <v>0</v>
      </c>
      <c r="AB60" s="53">
        <f t="shared" si="16"/>
        <v>0</v>
      </c>
      <c r="AC60" s="79">
        <f t="shared" si="30"/>
        <v>0</v>
      </c>
      <c r="AD60" s="53">
        <f t="shared" si="17"/>
        <v>0</v>
      </c>
    </row>
    <row r="61" spans="1:30" s="2" customFormat="1" ht="18" hidden="1" customHeight="1">
      <c r="A61" s="84"/>
      <c r="B61" s="22"/>
      <c r="C61" s="146"/>
      <c r="D61" s="162"/>
      <c r="E61" s="159">
        <f>IF(E8&gt;$E$2+13,"",DATEDIF(E8,$E$2+13,"y"))</f>
        <v>118</v>
      </c>
      <c r="F61" s="159">
        <f>IF(F8&gt;$E$2+13,"",DATEDIF(F8,$E$2+13,"y"))</f>
        <v>118</v>
      </c>
      <c r="G61" s="159">
        <f>IF(G8&gt;$E$2+13,"",DATEDIF(G8,$E$2+13,"y"))</f>
        <v>118</v>
      </c>
      <c r="H61" s="159">
        <f>IF(H8&gt;$E$2+13,"",DATEDIF(H8,$E$2+13,"y"))</f>
        <v>118</v>
      </c>
      <c r="I61" s="160">
        <f>IF(I8&gt;$E$2+13,"",DATEDIF(I8,$E$2+13,"y"))</f>
        <v>118</v>
      </c>
      <c r="J61" s="571">
        <f t="shared" si="10"/>
        <v>0</v>
      </c>
      <c r="K61" s="64">
        <f t="shared" si="18"/>
        <v>0</v>
      </c>
      <c r="L61" s="385">
        <f t="shared" si="11"/>
        <v>0</v>
      </c>
      <c r="M61" s="391">
        <f t="shared" si="19"/>
        <v>0</v>
      </c>
      <c r="N61" s="64">
        <f t="shared" si="20"/>
        <v>0</v>
      </c>
      <c r="O61" s="385">
        <f t="shared" si="21"/>
        <v>0</v>
      </c>
      <c r="P61" s="399">
        <f t="shared" si="22"/>
        <v>0</v>
      </c>
      <c r="Q61" s="64">
        <f t="shared" si="12"/>
        <v>0</v>
      </c>
      <c r="R61" s="385">
        <f t="shared" si="23"/>
        <v>0</v>
      </c>
      <c r="S61" s="380">
        <f t="shared" si="24"/>
        <v>0</v>
      </c>
      <c r="T61" s="383">
        <f t="shared" si="13"/>
        <v>0</v>
      </c>
      <c r="U61" s="64">
        <f t="shared" si="25"/>
        <v>0</v>
      </c>
      <c r="V61" s="174">
        <f t="shared" si="26"/>
        <v>0</v>
      </c>
      <c r="W61" s="64">
        <f t="shared" si="14"/>
        <v>0</v>
      </c>
      <c r="X61" s="385">
        <f t="shared" si="27"/>
        <v>0</v>
      </c>
      <c r="Y61" s="79">
        <f t="shared" si="28"/>
        <v>0</v>
      </c>
      <c r="Z61" s="53">
        <f t="shared" si="15"/>
        <v>0</v>
      </c>
      <c r="AA61" s="79">
        <f t="shared" si="29"/>
        <v>0</v>
      </c>
      <c r="AB61" s="53">
        <f t="shared" si="16"/>
        <v>0</v>
      </c>
      <c r="AC61" s="79">
        <f t="shared" si="30"/>
        <v>0</v>
      </c>
      <c r="AD61" s="53">
        <f t="shared" si="17"/>
        <v>0</v>
      </c>
    </row>
    <row r="62" spans="1:30" s="2" customFormat="1" ht="18" hidden="1" customHeight="1">
      <c r="A62" s="84"/>
      <c r="B62" s="22"/>
      <c r="C62" s="146"/>
      <c r="D62" s="162"/>
      <c r="E62" s="159">
        <f>IF(E8&gt;$E$2+14,"",DATEDIF(E8,$E$2+14,"y"))</f>
        <v>118</v>
      </c>
      <c r="F62" s="159">
        <f>IF(F8&gt;$E$2+14,"",DATEDIF(F8,$E$2+14,"y"))</f>
        <v>118</v>
      </c>
      <c r="G62" s="159">
        <f>IF(G8&gt;$E$2+14,"",DATEDIF(G8,$E$2+14,"y"))</f>
        <v>118</v>
      </c>
      <c r="H62" s="159">
        <f>IF(H8&gt;$E$2+14,"",DATEDIF(H8,$E$2+14,"y"))</f>
        <v>118</v>
      </c>
      <c r="I62" s="160">
        <f>IF(I8&gt;$E$2+14,"",DATEDIF(I8,$E$2+14,"y"))</f>
        <v>118</v>
      </c>
      <c r="J62" s="571">
        <f t="shared" si="10"/>
        <v>0</v>
      </c>
      <c r="K62" s="64">
        <f t="shared" si="18"/>
        <v>0</v>
      </c>
      <c r="L62" s="385">
        <f t="shared" si="11"/>
        <v>0</v>
      </c>
      <c r="M62" s="391">
        <f t="shared" si="19"/>
        <v>0</v>
      </c>
      <c r="N62" s="64">
        <f t="shared" si="20"/>
        <v>0</v>
      </c>
      <c r="O62" s="385">
        <f t="shared" si="21"/>
        <v>0</v>
      </c>
      <c r="P62" s="399">
        <f t="shared" si="22"/>
        <v>0</v>
      </c>
      <c r="Q62" s="64">
        <f t="shared" si="12"/>
        <v>0</v>
      </c>
      <c r="R62" s="385">
        <f t="shared" si="23"/>
        <v>0</v>
      </c>
      <c r="S62" s="380">
        <f t="shared" si="24"/>
        <v>0</v>
      </c>
      <c r="T62" s="383">
        <f t="shared" si="13"/>
        <v>0</v>
      </c>
      <c r="U62" s="64">
        <f t="shared" si="25"/>
        <v>0</v>
      </c>
      <c r="V62" s="174">
        <f t="shared" si="26"/>
        <v>0</v>
      </c>
      <c r="W62" s="64">
        <f t="shared" si="14"/>
        <v>0</v>
      </c>
      <c r="X62" s="385">
        <f t="shared" si="27"/>
        <v>0</v>
      </c>
      <c r="Y62" s="79">
        <f t="shared" si="28"/>
        <v>0</v>
      </c>
      <c r="Z62" s="53">
        <f t="shared" si="15"/>
        <v>0</v>
      </c>
      <c r="AA62" s="79">
        <f t="shared" si="29"/>
        <v>0</v>
      </c>
      <c r="AB62" s="53">
        <f t="shared" si="16"/>
        <v>0</v>
      </c>
      <c r="AC62" s="79">
        <f t="shared" si="30"/>
        <v>0</v>
      </c>
      <c r="AD62" s="53">
        <f t="shared" si="17"/>
        <v>0</v>
      </c>
    </row>
    <row r="63" spans="1:30" s="2" customFormat="1" ht="18" hidden="1" customHeight="1">
      <c r="A63" s="84"/>
      <c r="B63" s="22"/>
      <c r="C63" s="146"/>
      <c r="D63" s="162"/>
      <c r="E63" s="159">
        <f>IF(E8&gt;$E$2+15,"",DATEDIF(E8,$E$2+15,"y"))</f>
        <v>118</v>
      </c>
      <c r="F63" s="159">
        <f>IF(F8&gt;$E$2+15,"",DATEDIF(F8,$E$2+15,"y"))</f>
        <v>118</v>
      </c>
      <c r="G63" s="159">
        <f>IF(G8&gt;$E$2+15,"",DATEDIF(G8,$E$2+15,"y"))</f>
        <v>118</v>
      </c>
      <c r="H63" s="159">
        <f>IF(H8&gt;$E$2+15,"",DATEDIF(H8,$E$2+15,"y"))</f>
        <v>118</v>
      </c>
      <c r="I63" s="160">
        <f>IF(I8&gt;$E$2+15,"",DATEDIF(I8,$E$2+15,"y"))</f>
        <v>118</v>
      </c>
      <c r="J63" s="571">
        <f t="shared" si="10"/>
        <v>0</v>
      </c>
      <c r="K63" s="64">
        <f t="shared" si="18"/>
        <v>0</v>
      </c>
      <c r="L63" s="385">
        <f t="shared" si="11"/>
        <v>0</v>
      </c>
      <c r="M63" s="391">
        <f t="shared" si="19"/>
        <v>0</v>
      </c>
      <c r="N63" s="64">
        <f t="shared" si="20"/>
        <v>0</v>
      </c>
      <c r="O63" s="385">
        <f t="shared" si="21"/>
        <v>0</v>
      </c>
      <c r="P63" s="399">
        <f t="shared" si="22"/>
        <v>0</v>
      </c>
      <c r="Q63" s="64">
        <f t="shared" si="12"/>
        <v>0</v>
      </c>
      <c r="R63" s="385">
        <f t="shared" si="23"/>
        <v>0</v>
      </c>
      <c r="S63" s="380">
        <f t="shared" si="24"/>
        <v>0</v>
      </c>
      <c r="T63" s="383">
        <f t="shared" si="13"/>
        <v>0</v>
      </c>
      <c r="U63" s="64">
        <f t="shared" si="25"/>
        <v>0</v>
      </c>
      <c r="V63" s="174">
        <f t="shared" si="26"/>
        <v>0</v>
      </c>
      <c r="W63" s="64">
        <f t="shared" si="14"/>
        <v>0</v>
      </c>
      <c r="X63" s="385">
        <f t="shared" si="27"/>
        <v>0</v>
      </c>
      <c r="Y63" s="79">
        <f t="shared" si="28"/>
        <v>0</v>
      </c>
      <c r="Z63" s="53">
        <f t="shared" si="15"/>
        <v>0</v>
      </c>
      <c r="AA63" s="79">
        <f t="shared" si="29"/>
        <v>0</v>
      </c>
      <c r="AB63" s="53">
        <f t="shared" si="16"/>
        <v>0</v>
      </c>
      <c r="AC63" s="79">
        <f t="shared" si="30"/>
        <v>0</v>
      </c>
      <c r="AD63" s="53">
        <f t="shared" si="17"/>
        <v>0</v>
      </c>
    </row>
    <row r="64" spans="1:30" s="2" customFormat="1" ht="18" hidden="1" customHeight="1">
      <c r="A64" s="84"/>
      <c r="B64" s="22"/>
      <c r="C64" s="146"/>
      <c r="D64" s="162"/>
      <c r="E64" s="159">
        <f>IF(E8&gt;$E$2+16,"",DATEDIF(E8,$E$2+16,"y"))</f>
        <v>118</v>
      </c>
      <c r="F64" s="159">
        <f>IF(F8&gt;$E$2+16,"",DATEDIF(F8,$E$2+16,"y"))</f>
        <v>118</v>
      </c>
      <c r="G64" s="159">
        <f>IF(G8&gt;$E$2+16,"",DATEDIF(G8,$E$2+16,"y"))</f>
        <v>118</v>
      </c>
      <c r="H64" s="159">
        <f>IF(H8&gt;$E$2+16,"",DATEDIF(H8,$E$2+16,"y"))</f>
        <v>118</v>
      </c>
      <c r="I64" s="160">
        <f>IF(I8&gt;$E$2+16,"",DATEDIF(I8,$E$2+16,"y"))</f>
        <v>118</v>
      </c>
      <c r="J64" s="571">
        <f t="shared" si="10"/>
        <v>0</v>
      </c>
      <c r="K64" s="64">
        <f t="shared" si="18"/>
        <v>0</v>
      </c>
      <c r="L64" s="385">
        <f t="shared" si="11"/>
        <v>0</v>
      </c>
      <c r="M64" s="391">
        <f t="shared" si="19"/>
        <v>0</v>
      </c>
      <c r="N64" s="64">
        <f t="shared" si="20"/>
        <v>0</v>
      </c>
      <c r="O64" s="385">
        <f t="shared" si="21"/>
        <v>0</v>
      </c>
      <c r="P64" s="399">
        <f t="shared" si="22"/>
        <v>0</v>
      </c>
      <c r="Q64" s="64">
        <f t="shared" si="12"/>
        <v>0</v>
      </c>
      <c r="R64" s="385">
        <f t="shared" si="23"/>
        <v>0</v>
      </c>
      <c r="S64" s="380">
        <f t="shared" si="24"/>
        <v>0</v>
      </c>
      <c r="T64" s="383">
        <f t="shared" si="13"/>
        <v>0</v>
      </c>
      <c r="U64" s="64">
        <f t="shared" si="25"/>
        <v>0</v>
      </c>
      <c r="V64" s="174">
        <f t="shared" si="26"/>
        <v>0</v>
      </c>
      <c r="W64" s="64">
        <f t="shared" si="14"/>
        <v>0</v>
      </c>
      <c r="X64" s="385">
        <f t="shared" si="27"/>
        <v>0</v>
      </c>
      <c r="Y64" s="79">
        <f t="shared" si="28"/>
        <v>0</v>
      </c>
      <c r="Z64" s="53">
        <f t="shared" si="15"/>
        <v>0</v>
      </c>
      <c r="AA64" s="79">
        <f t="shared" si="29"/>
        <v>0</v>
      </c>
      <c r="AB64" s="53">
        <f t="shared" si="16"/>
        <v>0</v>
      </c>
      <c r="AC64" s="79">
        <f t="shared" si="30"/>
        <v>0</v>
      </c>
      <c r="AD64" s="53">
        <f t="shared" si="17"/>
        <v>0</v>
      </c>
    </row>
    <row r="65" spans="1:31" s="2" customFormat="1" ht="18" hidden="1" customHeight="1">
      <c r="A65" s="84"/>
      <c r="B65" s="22"/>
      <c r="C65" s="146"/>
      <c r="D65" s="162"/>
      <c r="E65" s="159">
        <f>IF(E8&gt;$E$2+17,"",DATEDIF(E8,$E$2+17,"y"))</f>
        <v>118</v>
      </c>
      <c r="F65" s="159">
        <f>IF(F8&gt;$E$2+17,"",DATEDIF(F8,$E$2+17,"y"))</f>
        <v>118</v>
      </c>
      <c r="G65" s="159">
        <f>IF(G8&gt;$E$2+17,"",DATEDIF(G8,$E$2+17,"y"))</f>
        <v>118</v>
      </c>
      <c r="H65" s="159">
        <f>IF(H8&gt;$E$2+17,"",DATEDIF(H8,$E$2+17,"y"))</f>
        <v>118</v>
      </c>
      <c r="I65" s="160">
        <f>IF(I8&gt;$E$2+17,"",DATEDIF(I8,$E$2+17,"y"))</f>
        <v>118</v>
      </c>
      <c r="J65" s="571">
        <f t="shared" si="10"/>
        <v>0</v>
      </c>
      <c r="K65" s="64">
        <f t="shared" si="18"/>
        <v>0</v>
      </c>
      <c r="L65" s="385">
        <f t="shared" si="11"/>
        <v>0</v>
      </c>
      <c r="M65" s="391">
        <f t="shared" si="19"/>
        <v>0</v>
      </c>
      <c r="N65" s="64">
        <f t="shared" si="20"/>
        <v>0</v>
      </c>
      <c r="O65" s="385">
        <f t="shared" si="21"/>
        <v>0</v>
      </c>
      <c r="P65" s="399">
        <f t="shared" si="22"/>
        <v>0</v>
      </c>
      <c r="Q65" s="64">
        <f t="shared" si="12"/>
        <v>0</v>
      </c>
      <c r="R65" s="385">
        <f t="shared" si="23"/>
        <v>0</v>
      </c>
      <c r="S65" s="380">
        <f t="shared" si="24"/>
        <v>0</v>
      </c>
      <c r="T65" s="383">
        <f t="shared" si="13"/>
        <v>0</v>
      </c>
      <c r="U65" s="64">
        <f t="shared" si="25"/>
        <v>0</v>
      </c>
      <c r="V65" s="174">
        <f t="shared" si="26"/>
        <v>0</v>
      </c>
      <c r="W65" s="64">
        <f t="shared" si="14"/>
        <v>0</v>
      </c>
      <c r="X65" s="385">
        <f t="shared" si="27"/>
        <v>0</v>
      </c>
      <c r="Y65" s="79">
        <f t="shared" si="28"/>
        <v>0</v>
      </c>
      <c r="Z65" s="53">
        <f t="shared" si="15"/>
        <v>0</v>
      </c>
      <c r="AA65" s="79">
        <f t="shared" si="29"/>
        <v>0</v>
      </c>
      <c r="AB65" s="53">
        <f t="shared" si="16"/>
        <v>0</v>
      </c>
      <c r="AC65" s="79">
        <f t="shared" si="30"/>
        <v>0</v>
      </c>
      <c r="AD65" s="53">
        <f t="shared" si="17"/>
        <v>0</v>
      </c>
    </row>
    <row r="66" spans="1:31" s="2" customFormat="1" ht="18" hidden="1" customHeight="1">
      <c r="A66" s="84"/>
      <c r="B66" s="22"/>
      <c r="C66" s="146"/>
      <c r="D66" s="162"/>
      <c r="E66" s="159">
        <f>IF(E8&gt;$E$2+18,"",DATEDIF(E8,$E$2+18,"y"))</f>
        <v>118</v>
      </c>
      <c r="F66" s="159">
        <f>IF(F8&gt;$E$2+18,"",DATEDIF(F8,$E$2+18,"y"))</f>
        <v>118</v>
      </c>
      <c r="G66" s="159">
        <f>IF(G8&gt;$E$2+18,"",DATEDIF(G8,$E$2+18,"y"))</f>
        <v>118</v>
      </c>
      <c r="H66" s="159">
        <f>IF(H8&gt;$E$2+18,"",DATEDIF(H8,$E$2+18,"y"))</f>
        <v>118</v>
      </c>
      <c r="I66" s="160">
        <f>IF(I8&gt;$E$2+18,"",DATEDIF(I8,$E$2+18,"y"))</f>
        <v>118</v>
      </c>
      <c r="J66" s="571">
        <f t="shared" si="10"/>
        <v>0</v>
      </c>
      <c r="K66" s="64">
        <f t="shared" si="18"/>
        <v>0</v>
      </c>
      <c r="L66" s="385">
        <f t="shared" si="11"/>
        <v>0</v>
      </c>
      <c r="M66" s="391">
        <f t="shared" si="19"/>
        <v>0</v>
      </c>
      <c r="N66" s="64">
        <f t="shared" si="20"/>
        <v>0</v>
      </c>
      <c r="O66" s="385">
        <f t="shared" si="21"/>
        <v>0</v>
      </c>
      <c r="P66" s="399">
        <f t="shared" si="22"/>
        <v>0</v>
      </c>
      <c r="Q66" s="64">
        <f t="shared" si="12"/>
        <v>0</v>
      </c>
      <c r="R66" s="385">
        <f t="shared" si="23"/>
        <v>0</v>
      </c>
      <c r="S66" s="380">
        <f t="shared" si="24"/>
        <v>0</v>
      </c>
      <c r="T66" s="383">
        <f t="shared" si="13"/>
        <v>0</v>
      </c>
      <c r="U66" s="64">
        <f t="shared" si="25"/>
        <v>0</v>
      </c>
      <c r="V66" s="174">
        <f t="shared" si="26"/>
        <v>0</v>
      </c>
      <c r="W66" s="64">
        <f t="shared" si="14"/>
        <v>0</v>
      </c>
      <c r="X66" s="385">
        <f t="shared" si="27"/>
        <v>0</v>
      </c>
      <c r="Y66" s="79">
        <f t="shared" si="28"/>
        <v>0</v>
      </c>
      <c r="Z66" s="53">
        <f t="shared" si="15"/>
        <v>0</v>
      </c>
      <c r="AA66" s="79">
        <f t="shared" si="29"/>
        <v>0</v>
      </c>
      <c r="AB66" s="53">
        <f t="shared" si="16"/>
        <v>0</v>
      </c>
      <c r="AC66" s="79">
        <f t="shared" si="30"/>
        <v>0</v>
      </c>
      <c r="AD66" s="53">
        <f t="shared" si="17"/>
        <v>0</v>
      </c>
    </row>
    <row r="67" spans="1:31" s="2" customFormat="1" ht="18" hidden="1" customHeight="1">
      <c r="A67" s="84"/>
      <c r="B67" s="22"/>
      <c r="C67" s="146"/>
      <c r="D67" s="162"/>
      <c r="E67" s="159">
        <f>IF(E8&gt;$E$2+19,"",DATEDIF(E8,$E$2+19,"y"))</f>
        <v>118</v>
      </c>
      <c r="F67" s="159">
        <f>IF(F8&gt;$E$2+19,"",DATEDIF(F8,$E$2+19,"y"))</f>
        <v>118</v>
      </c>
      <c r="G67" s="159">
        <f>IF(G8&gt;$E$2+19,"",DATEDIF(G8,$E$2+19,"y"))</f>
        <v>118</v>
      </c>
      <c r="H67" s="159">
        <f>IF(H8&gt;$E$2+19,"",DATEDIF(H8,$E$2+19,"y"))</f>
        <v>118</v>
      </c>
      <c r="I67" s="160">
        <f>IF(I8&gt;$E$2+19,"",DATEDIF(I8,$E$2+19,"y"))</f>
        <v>118</v>
      </c>
      <c r="J67" s="571">
        <f t="shared" si="10"/>
        <v>0</v>
      </c>
      <c r="K67" s="64">
        <f t="shared" si="18"/>
        <v>0</v>
      </c>
      <c r="L67" s="385">
        <f t="shared" si="11"/>
        <v>0</v>
      </c>
      <c r="M67" s="391">
        <f t="shared" si="19"/>
        <v>0</v>
      </c>
      <c r="N67" s="64">
        <f t="shared" si="20"/>
        <v>0</v>
      </c>
      <c r="O67" s="385">
        <f t="shared" si="21"/>
        <v>0</v>
      </c>
      <c r="P67" s="399">
        <f t="shared" si="22"/>
        <v>0</v>
      </c>
      <c r="Q67" s="64">
        <f t="shared" si="12"/>
        <v>0</v>
      </c>
      <c r="R67" s="385">
        <f t="shared" si="23"/>
        <v>0</v>
      </c>
      <c r="S67" s="380">
        <f t="shared" si="24"/>
        <v>0</v>
      </c>
      <c r="T67" s="383">
        <f t="shared" si="13"/>
        <v>0</v>
      </c>
      <c r="U67" s="64">
        <f t="shared" si="25"/>
        <v>0</v>
      </c>
      <c r="V67" s="174">
        <f t="shared" si="26"/>
        <v>0</v>
      </c>
      <c r="W67" s="64">
        <f t="shared" si="14"/>
        <v>0</v>
      </c>
      <c r="X67" s="385">
        <f t="shared" si="27"/>
        <v>0</v>
      </c>
      <c r="Y67" s="79">
        <f t="shared" si="28"/>
        <v>0</v>
      </c>
      <c r="Z67" s="53">
        <f t="shared" si="15"/>
        <v>0</v>
      </c>
      <c r="AA67" s="79">
        <f t="shared" si="29"/>
        <v>0</v>
      </c>
      <c r="AB67" s="53">
        <f t="shared" si="16"/>
        <v>0</v>
      </c>
      <c r="AC67" s="79">
        <f t="shared" si="30"/>
        <v>0</v>
      </c>
      <c r="AD67" s="53">
        <f t="shared" si="17"/>
        <v>0</v>
      </c>
    </row>
    <row r="68" spans="1:31" s="2" customFormat="1" ht="18" hidden="1" customHeight="1">
      <c r="A68" s="84"/>
      <c r="B68" s="22"/>
      <c r="C68" s="146"/>
      <c r="D68" s="162"/>
      <c r="E68" s="159">
        <f>IF(E8&gt;$E$2+20,"",DATEDIF(E8,$E$2+20,"y"))</f>
        <v>118</v>
      </c>
      <c r="F68" s="159">
        <f>IF(F8&gt;$E$2+20,"",DATEDIF(F8,$E$2+20,"y"))</f>
        <v>118</v>
      </c>
      <c r="G68" s="159">
        <f>IF(G8&gt;$E$2+20,"",DATEDIF(G8,$E$2+20,"y"))</f>
        <v>118</v>
      </c>
      <c r="H68" s="159">
        <f>IF(H8&gt;$E$2+20,"",DATEDIF(H8,$E$2+20,"y"))</f>
        <v>118</v>
      </c>
      <c r="I68" s="160">
        <f>IF(I8&gt;$E$2+20,"",DATEDIF(I8,$E$2+20,"y"))</f>
        <v>118</v>
      </c>
      <c r="J68" s="571">
        <f t="shared" si="10"/>
        <v>0</v>
      </c>
      <c r="K68" s="64">
        <f t="shared" si="18"/>
        <v>0</v>
      </c>
      <c r="L68" s="385">
        <f t="shared" si="11"/>
        <v>0</v>
      </c>
      <c r="M68" s="391">
        <f t="shared" si="19"/>
        <v>0</v>
      </c>
      <c r="N68" s="64">
        <f t="shared" si="20"/>
        <v>0</v>
      </c>
      <c r="O68" s="385">
        <f t="shared" si="21"/>
        <v>0</v>
      </c>
      <c r="P68" s="399">
        <f t="shared" si="22"/>
        <v>0</v>
      </c>
      <c r="Q68" s="64">
        <f t="shared" si="12"/>
        <v>0</v>
      </c>
      <c r="R68" s="385">
        <f t="shared" si="23"/>
        <v>0</v>
      </c>
      <c r="S68" s="380">
        <f t="shared" si="24"/>
        <v>0</v>
      </c>
      <c r="T68" s="383">
        <f t="shared" si="13"/>
        <v>0</v>
      </c>
      <c r="U68" s="64">
        <f t="shared" si="25"/>
        <v>0</v>
      </c>
      <c r="V68" s="174">
        <f t="shared" si="26"/>
        <v>0</v>
      </c>
      <c r="W68" s="64">
        <f t="shared" si="14"/>
        <v>0</v>
      </c>
      <c r="X68" s="385">
        <f t="shared" si="27"/>
        <v>0</v>
      </c>
      <c r="Y68" s="79">
        <f t="shared" si="28"/>
        <v>0</v>
      </c>
      <c r="Z68" s="53">
        <f t="shared" si="15"/>
        <v>0</v>
      </c>
      <c r="AA68" s="79">
        <f t="shared" si="29"/>
        <v>0</v>
      </c>
      <c r="AB68" s="53">
        <f t="shared" si="16"/>
        <v>0</v>
      </c>
      <c r="AC68" s="79">
        <f t="shared" si="30"/>
        <v>0</v>
      </c>
      <c r="AD68" s="53">
        <f t="shared" si="17"/>
        <v>0</v>
      </c>
    </row>
    <row r="69" spans="1:31" s="2" customFormat="1" ht="18" hidden="1" customHeight="1">
      <c r="A69" s="84"/>
      <c r="B69" s="22"/>
      <c r="C69" s="146"/>
      <c r="D69" s="162"/>
      <c r="E69" s="159">
        <f>IF(E8&gt;$E$2+21,"",DATEDIF(E8,$E$2+21,"y"))</f>
        <v>118</v>
      </c>
      <c r="F69" s="159">
        <f>IF(F8&gt;$E$2+21,"",DATEDIF(F8,$E$2+21,"y"))</f>
        <v>118</v>
      </c>
      <c r="G69" s="159">
        <f>IF(G8&gt;$E$2+21,"",DATEDIF(G8,$E$2+21,"y"))</f>
        <v>118</v>
      </c>
      <c r="H69" s="159">
        <f>IF(H8&gt;$E$2+21,"",DATEDIF(H8,$E$2+21,"y"))</f>
        <v>118</v>
      </c>
      <c r="I69" s="160">
        <f>IF(I8&gt;$E$2+21,"",DATEDIF(I8,$E$2+21,"y"))</f>
        <v>118</v>
      </c>
      <c r="J69" s="571">
        <f t="shared" si="10"/>
        <v>0</v>
      </c>
      <c r="K69" s="64">
        <f t="shared" si="18"/>
        <v>0</v>
      </c>
      <c r="L69" s="385">
        <f t="shared" si="11"/>
        <v>0</v>
      </c>
      <c r="M69" s="391">
        <f t="shared" si="19"/>
        <v>0</v>
      </c>
      <c r="N69" s="64">
        <f t="shared" si="20"/>
        <v>0</v>
      </c>
      <c r="O69" s="385">
        <f t="shared" si="21"/>
        <v>0</v>
      </c>
      <c r="P69" s="399">
        <f t="shared" si="22"/>
        <v>0</v>
      </c>
      <c r="Q69" s="64">
        <f t="shared" si="12"/>
        <v>0</v>
      </c>
      <c r="R69" s="385">
        <f t="shared" si="23"/>
        <v>0</v>
      </c>
      <c r="S69" s="380">
        <f t="shared" si="24"/>
        <v>0</v>
      </c>
      <c r="T69" s="383">
        <f t="shared" si="13"/>
        <v>0</v>
      </c>
      <c r="U69" s="64">
        <f t="shared" si="25"/>
        <v>0</v>
      </c>
      <c r="V69" s="174">
        <f t="shared" si="26"/>
        <v>0</v>
      </c>
      <c r="W69" s="64">
        <f t="shared" si="14"/>
        <v>0</v>
      </c>
      <c r="X69" s="385">
        <f t="shared" si="27"/>
        <v>0</v>
      </c>
      <c r="Y69" s="79">
        <f t="shared" si="28"/>
        <v>0</v>
      </c>
      <c r="Z69" s="53">
        <f t="shared" si="15"/>
        <v>0</v>
      </c>
      <c r="AA69" s="79">
        <f t="shared" si="29"/>
        <v>0</v>
      </c>
      <c r="AB69" s="53">
        <f t="shared" si="16"/>
        <v>0</v>
      </c>
      <c r="AC69" s="79">
        <f t="shared" si="30"/>
        <v>0</v>
      </c>
      <c r="AD69" s="53">
        <f t="shared" si="17"/>
        <v>0</v>
      </c>
    </row>
    <row r="70" spans="1:31" s="2" customFormat="1" ht="18" hidden="1" customHeight="1">
      <c r="A70" s="84"/>
      <c r="B70" s="22"/>
      <c r="C70" s="146"/>
      <c r="D70" s="162"/>
      <c r="E70" s="159">
        <f>IF(E8&gt;$E$2+22,"",DATEDIF(E8,$E$2+22,"y"))</f>
        <v>118</v>
      </c>
      <c r="F70" s="159">
        <f>IF(F8&gt;$E$2+22,"",DATEDIF(F8,$E$2+22,"y"))</f>
        <v>118</v>
      </c>
      <c r="G70" s="159">
        <f>IF(G8&gt;$E$2+22,"",DATEDIF(G8,$E$2+22,"y"))</f>
        <v>118</v>
      </c>
      <c r="H70" s="159">
        <f>IF(H8&gt;$E$2+22,"",DATEDIF(H8,$E$2+22,"y"))</f>
        <v>118</v>
      </c>
      <c r="I70" s="160">
        <f>IF(I8&gt;$E$2+22,"",DATEDIF(I8,$E$2+22,"y"))</f>
        <v>118</v>
      </c>
      <c r="J70" s="571">
        <f t="shared" si="10"/>
        <v>0</v>
      </c>
      <c r="K70" s="64">
        <f t="shared" si="18"/>
        <v>0</v>
      </c>
      <c r="L70" s="385">
        <f t="shared" si="11"/>
        <v>0</v>
      </c>
      <c r="M70" s="391">
        <f t="shared" si="19"/>
        <v>0</v>
      </c>
      <c r="N70" s="64">
        <f t="shared" si="20"/>
        <v>0</v>
      </c>
      <c r="O70" s="385">
        <f t="shared" si="21"/>
        <v>0</v>
      </c>
      <c r="P70" s="399">
        <f t="shared" si="22"/>
        <v>0</v>
      </c>
      <c r="Q70" s="64">
        <f t="shared" si="12"/>
        <v>0</v>
      </c>
      <c r="R70" s="385">
        <f t="shared" si="23"/>
        <v>0</v>
      </c>
      <c r="S70" s="380">
        <f t="shared" si="24"/>
        <v>0</v>
      </c>
      <c r="T70" s="383">
        <f t="shared" si="13"/>
        <v>0</v>
      </c>
      <c r="U70" s="64">
        <f t="shared" si="25"/>
        <v>0</v>
      </c>
      <c r="V70" s="174">
        <f t="shared" si="26"/>
        <v>0</v>
      </c>
      <c r="W70" s="64">
        <f t="shared" si="14"/>
        <v>0</v>
      </c>
      <c r="X70" s="385">
        <f t="shared" si="27"/>
        <v>0</v>
      </c>
      <c r="Y70" s="79">
        <f t="shared" si="28"/>
        <v>0</v>
      </c>
      <c r="Z70" s="53">
        <f t="shared" si="15"/>
        <v>0</v>
      </c>
      <c r="AA70" s="79">
        <f t="shared" si="29"/>
        <v>0</v>
      </c>
      <c r="AB70" s="53">
        <f t="shared" si="16"/>
        <v>0</v>
      </c>
      <c r="AC70" s="79">
        <f t="shared" si="30"/>
        <v>0</v>
      </c>
      <c r="AD70" s="53">
        <f t="shared" si="17"/>
        <v>0</v>
      </c>
    </row>
    <row r="71" spans="1:31" s="2" customFormat="1" ht="18" hidden="1" customHeight="1">
      <c r="A71" s="84"/>
      <c r="B71" s="22"/>
      <c r="C71" s="146"/>
      <c r="D71" s="162"/>
      <c r="E71" s="159">
        <f>IF(E8&gt;$E$2+23,"",DATEDIF(E8,$E$2+23,"y"))</f>
        <v>118</v>
      </c>
      <c r="F71" s="159">
        <f>IF(F8&gt;$E$2+23,"",DATEDIF(F8,$E$2+23,"y"))</f>
        <v>118</v>
      </c>
      <c r="G71" s="159">
        <f>IF(G8&gt;$E$2+23,"",DATEDIF(G8,$E$2+23,"y"))</f>
        <v>118</v>
      </c>
      <c r="H71" s="159">
        <f>IF(H8&gt;$E$2+23,"",DATEDIF(H8,$E$2+23,"y"))</f>
        <v>118</v>
      </c>
      <c r="I71" s="160">
        <f>IF(I8&gt;$E$2+23,"",DATEDIF(I8,$E$2+23,"y"))</f>
        <v>118</v>
      </c>
      <c r="J71" s="571">
        <f t="shared" si="10"/>
        <v>0</v>
      </c>
      <c r="K71" s="64">
        <f t="shared" si="18"/>
        <v>0</v>
      </c>
      <c r="L71" s="385">
        <f t="shared" si="11"/>
        <v>0</v>
      </c>
      <c r="M71" s="391">
        <f t="shared" si="19"/>
        <v>0</v>
      </c>
      <c r="N71" s="64">
        <f t="shared" si="20"/>
        <v>0</v>
      </c>
      <c r="O71" s="385">
        <f t="shared" si="21"/>
        <v>0</v>
      </c>
      <c r="P71" s="399">
        <f t="shared" si="22"/>
        <v>0</v>
      </c>
      <c r="Q71" s="64">
        <f t="shared" si="12"/>
        <v>0</v>
      </c>
      <c r="R71" s="385">
        <f t="shared" si="23"/>
        <v>0</v>
      </c>
      <c r="S71" s="380">
        <f t="shared" si="24"/>
        <v>0</v>
      </c>
      <c r="T71" s="383">
        <f t="shared" si="13"/>
        <v>0</v>
      </c>
      <c r="U71" s="64">
        <f t="shared" si="25"/>
        <v>0</v>
      </c>
      <c r="V71" s="174">
        <f t="shared" si="26"/>
        <v>0</v>
      </c>
      <c r="W71" s="64">
        <f t="shared" si="14"/>
        <v>0</v>
      </c>
      <c r="X71" s="385">
        <f t="shared" si="27"/>
        <v>0</v>
      </c>
      <c r="Y71" s="79">
        <f t="shared" si="28"/>
        <v>0</v>
      </c>
      <c r="Z71" s="53">
        <f t="shared" si="15"/>
        <v>0</v>
      </c>
      <c r="AA71" s="79">
        <f t="shared" si="29"/>
        <v>0</v>
      </c>
      <c r="AB71" s="53">
        <f t="shared" si="16"/>
        <v>0</v>
      </c>
      <c r="AC71" s="79">
        <f t="shared" si="30"/>
        <v>0</v>
      </c>
      <c r="AD71" s="53">
        <f t="shared" si="17"/>
        <v>0</v>
      </c>
    </row>
    <row r="72" spans="1:31" s="2" customFormat="1" ht="18" hidden="1" customHeight="1">
      <c r="A72" s="84"/>
      <c r="B72" s="22"/>
      <c r="C72" s="146"/>
      <c r="D72" s="162"/>
      <c r="E72" s="159">
        <f>IF(E8&gt;$E$2+24,"",DATEDIF(E8,$E$2+24,"y"))</f>
        <v>118</v>
      </c>
      <c r="F72" s="159">
        <f>IF(F8&gt;$E$2+24,"",DATEDIF(F8,$E$2+24,"y"))</f>
        <v>118</v>
      </c>
      <c r="G72" s="159">
        <f>IF(G8&gt;$E$2+24,"",DATEDIF(G8,$E$2+24,"y"))</f>
        <v>118</v>
      </c>
      <c r="H72" s="159">
        <f>IF(H8&gt;$E$2+24,"",DATEDIF(H8,$E$2+24,"y"))</f>
        <v>118</v>
      </c>
      <c r="I72" s="160">
        <f>IF(I8&gt;$E$2+24,"",DATEDIF(I8,$E$2+24,"y"))</f>
        <v>118</v>
      </c>
      <c r="J72" s="571">
        <f t="shared" si="10"/>
        <v>0</v>
      </c>
      <c r="K72" s="64">
        <f t="shared" si="18"/>
        <v>0</v>
      </c>
      <c r="L72" s="385">
        <f t="shared" si="11"/>
        <v>0</v>
      </c>
      <c r="M72" s="391">
        <f t="shared" si="19"/>
        <v>0</v>
      </c>
      <c r="N72" s="64">
        <f t="shared" si="20"/>
        <v>0</v>
      </c>
      <c r="O72" s="385">
        <f t="shared" si="21"/>
        <v>0</v>
      </c>
      <c r="P72" s="399">
        <f t="shared" si="22"/>
        <v>0</v>
      </c>
      <c r="Q72" s="64">
        <f t="shared" si="12"/>
        <v>0</v>
      </c>
      <c r="R72" s="385">
        <f t="shared" si="23"/>
        <v>0</v>
      </c>
      <c r="S72" s="380">
        <f t="shared" si="24"/>
        <v>0</v>
      </c>
      <c r="T72" s="383">
        <f t="shared" si="13"/>
        <v>0</v>
      </c>
      <c r="U72" s="64">
        <f t="shared" si="25"/>
        <v>0</v>
      </c>
      <c r="V72" s="174">
        <f t="shared" si="26"/>
        <v>0</v>
      </c>
      <c r="W72" s="64">
        <f t="shared" si="14"/>
        <v>0</v>
      </c>
      <c r="X72" s="385">
        <f t="shared" si="27"/>
        <v>0</v>
      </c>
      <c r="Y72" s="79">
        <f t="shared" si="28"/>
        <v>0</v>
      </c>
      <c r="Z72" s="53">
        <f t="shared" si="15"/>
        <v>0</v>
      </c>
      <c r="AA72" s="79">
        <f t="shared" si="29"/>
        <v>0</v>
      </c>
      <c r="AB72" s="53">
        <f t="shared" si="16"/>
        <v>0</v>
      </c>
      <c r="AC72" s="79">
        <f t="shared" si="30"/>
        <v>0</v>
      </c>
      <c r="AD72" s="53">
        <f t="shared" si="17"/>
        <v>0</v>
      </c>
    </row>
    <row r="73" spans="1:31" s="2" customFormat="1" ht="18" hidden="1" customHeight="1">
      <c r="A73" s="84"/>
      <c r="B73" s="22"/>
      <c r="C73" s="146"/>
      <c r="D73" s="162"/>
      <c r="E73" s="159">
        <f>IF(E8&gt;$E$2+25,"",DATEDIF(E8,$E$2+25,"y"))</f>
        <v>118</v>
      </c>
      <c r="F73" s="159">
        <f>IF(F8&gt;$E$2+25,"",DATEDIF(F8,$E$2+25,"y"))</f>
        <v>118</v>
      </c>
      <c r="G73" s="159">
        <f>IF(G8&gt;$E$2+25,"",DATEDIF(G8,$E$2+25,"y"))</f>
        <v>118</v>
      </c>
      <c r="H73" s="159">
        <f>IF(H8&gt;$E$2+25,"",DATEDIF(H8,$E$2+25,"y"))</f>
        <v>118</v>
      </c>
      <c r="I73" s="160">
        <f>IF(I8&gt;$E$2+25,"",DATEDIF(I8,$E$2+25,"y"))</f>
        <v>118</v>
      </c>
      <c r="J73" s="571">
        <f t="shared" si="10"/>
        <v>0</v>
      </c>
      <c r="K73" s="64">
        <f t="shared" si="18"/>
        <v>0</v>
      </c>
      <c r="L73" s="385">
        <f t="shared" si="11"/>
        <v>0</v>
      </c>
      <c r="M73" s="391">
        <f t="shared" si="19"/>
        <v>0</v>
      </c>
      <c r="N73" s="64">
        <f t="shared" si="20"/>
        <v>0</v>
      </c>
      <c r="O73" s="385">
        <f t="shared" si="21"/>
        <v>0</v>
      </c>
      <c r="P73" s="399">
        <f t="shared" si="22"/>
        <v>0</v>
      </c>
      <c r="Q73" s="64">
        <f t="shared" si="12"/>
        <v>0</v>
      </c>
      <c r="R73" s="385">
        <f t="shared" si="23"/>
        <v>0</v>
      </c>
      <c r="S73" s="380">
        <f t="shared" si="24"/>
        <v>0</v>
      </c>
      <c r="T73" s="383">
        <f t="shared" si="13"/>
        <v>0</v>
      </c>
      <c r="U73" s="64">
        <f t="shared" si="25"/>
        <v>0</v>
      </c>
      <c r="V73" s="174">
        <f t="shared" si="26"/>
        <v>0</v>
      </c>
      <c r="W73" s="64">
        <f t="shared" si="14"/>
        <v>0</v>
      </c>
      <c r="X73" s="385">
        <f t="shared" si="27"/>
        <v>0</v>
      </c>
      <c r="Y73" s="79">
        <f t="shared" si="28"/>
        <v>0</v>
      </c>
      <c r="Z73" s="53">
        <f t="shared" si="15"/>
        <v>0</v>
      </c>
      <c r="AA73" s="79">
        <f t="shared" si="29"/>
        <v>0</v>
      </c>
      <c r="AB73" s="53">
        <f t="shared" si="16"/>
        <v>0</v>
      </c>
      <c r="AC73" s="79">
        <f t="shared" si="30"/>
        <v>0</v>
      </c>
      <c r="AD73" s="53">
        <f t="shared" si="17"/>
        <v>0</v>
      </c>
    </row>
    <row r="74" spans="1:31" s="2" customFormat="1" ht="18" hidden="1" customHeight="1">
      <c r="A74" s="84"/>
      <c r="B74" s="22"/>
      <c r="C74" s="146"/>
      <c r="D74" s="162"/>
      <c r="E74" s="159">
        <f>IF(E8&gt;$E$2+26,"",DATEDIF(E8,$E$2+26,"y"))</f>
        <v>118</v>
      </c>
      <c r="F74" s="159">
        <f>IF(F8&gt;$E$2+26,"",DATEDIF(F8,$E$2+26,"y"))</f>
        <v>118</v>
      </c>
      <c r="G74" s="159">
        <f>IF(G8&gt;$E$2+26,"",DATEDIF(G8,$E$2+26,"y"))</f>
        <v>118</v>
      </c>
      <c r="H74" s="159">
        <f>IF(H8&gt;$E$2+26,"",DATEDIF(H8,$E$2+26,"y"))</f>
        <v>118</v>
      </c>
      <c r="I74" s="160">
        <f>IF(I8&gt;$E$2+26,"",DATEDIF(I8,$E$2+26,"y"))</f>
        <v>118</v>
      </c>
      <c r="J74" s="571">
        <f t="shared" si="10"/>
        <v>0</v>
      </c>
      <c r="K74" s="64">
        <f t="shared" si="18"/>
        <v>0</v>
      </c>
      <c r="L74" s="385">
        <f t="shared" si="11"/>
        <v>0</v>
      </c>
      <c r="M74" s="391">
        <f t="shared" si="19"/>
        <v>0</v>
      </c>
      <c r="N74" s="64">
        <f t="shared" si="20"/>
        <v>0</v>
      </c>
      <c r="O74" s="385">
        <f t="shared" si="21"/>
        <v>0</v>
      </c>
      <c r="P74" s="399">
        <f t="shared" si="22"/>
        <v>0</v>
      </c>
      <c r="Q74" s="64">
        <f t="shared" si="12"/>
        <v>0</v>
      </c>
      <c r="R74" s="385">
        <f t="shared" si="23"/>
        <v>0</v>
      </c>
      <c r="S74" s="380">
        <f t="shared" si="24"/>
        <v>0</v>
      </c>
      <c r="T74" s="383">
        <f t="shared" si="13"/>
        <v>0</v>
      </c>
      <c r="U74" s="64">
        <f t="shared" si="25"/>
        <v>0</v>
      </c>
      <c r="V74" s="174">
        <f t="shared" si="26"/>
        <v>0</v>
      </c>
      <c r="W74" s="64">
        <f t="shared" si="14"/>
        <v>0</v>
      </c>
      <c r="X74" s="385">
        <f t="shared" si="27"/>
        <v>0</v>
      </c>
      <c r="Y74" s="79">
        <f t="shared" si="28"/>
        <v>0</v>
      </c>
      <c r="Z74" s="53">
        <f t="shared" si="15"/>
        <v>0</v>
      </c>
      <c r="AA74" s="79">
        <f t="shared" si="29"/>
        <v>0</v>
      </c>
      <c r="AB74" s="53">
        <f t="shared" si="16"/>
        <v>0</v>
      </c>
      <c r="AC74" s="79">
        <f t="shared" si="30"/>
        <v>0</v>
      </c>
      <c r="AD74" s="53">
        <f t="shared" si="17"/>
        <v>0</v>
      </c>
    </row>
    <row r="75" spans="1:31" s="2" customFormat="1" ht="18" hidden="1" customHeight="1">
      <c r="A75" s="84"/>
      <c r="B75" s="22"/>
      <c r="C75" s="146"/>
      <c r="D75" s="162"/>
      <c r="E75" s="159">
        <f>IF(E8&gt;$E$2+27,"",DATEDIF(E8,$E$2+27,"y"))</f>
        <v>118</v>
      </c>
      <c r="F75" s="159">
        <f>IF(F8&gt;$E$2+27,"",DATEDIF(F8,$E$2+27,"y"))</f>
        <v>118</v>
      </c>
      <c r="G75" s="159">
        <f>IF(G8&gt;$E$2+27,"",DATEDIF(G8,$E$2+27,"y"))</f>
        <v>118</v>
      </c>
      <c r="H75" s="159">
        <f>IF(H8&gt;$E$2+27,"",DATEDIF(H8,$E$2+27,"y"))</f>
        <v>118</v>
      </c>
      <c r="I75" s="160">
        <f>IF(I8&gt;$E$2+27,"",DATEDIF(I8,$E$2+27,"y"))</f>
        <v>118</v>
      </c>
      <c r="J75" s="571">
        <f t="shared" si="10"/>
        <v>0</v>
      </c>
      <c r="K75" s="64">
        <f t="shared" si="18"/>
        <v>0</v>
      </c>
      <c r="L75" s="385">
        <f t="shared" si="11"/>
        <v>0</v>
      </c>
      <c r="M75" s="391">
        <f t="shared" si="19"/>
        <v>0</v>
      </c>
      <c r="N75" s="64">
        <f t="shared" si="20"/>
        <v>0</v>
      </c>
      <c r="O75" s="385">
        <f t="shared" si="21"/>
        <v>0</v>
      </c>
      <c r="P75" s="399">
        <f t="shared" si="22"/>
        <v>0</v>
      </c>
      <c r="Q75" s="64">
        <f t="shared" si="12"/>
        <v>0</v>
      </c>
      <c r="R75" s="385">
        <f t="shared" si="23"/>
        <v>0</v>
      </c>
      <c r="S75" s="380">
        <f t="shared" si="24"/>
        <v>0</v>
      </c>
      <c r="T75" s="383">
        <f t="shared" si="13"/>
        <v>0</v>
      </c>
      <c r="U75" s="64">
        <f t="shared" si="25"/>
        <v>0</v>
      </c>
      <c r="V75" s="174">
        <f t="shared" si="26"/>
        <v>0</v>
      </c>
      <c r="W75" s="64">
        <f t="shared" si="14"/>
        <v>0</v>
      </c>
      <c r="X75" s="385">
        <f t="shared" si="27"/>
        <v>0</v>
      </c>
      <c r="Y75" s="79">
        <f t="shared" si="28"/>
        <v>0</v>
      </c>
      <c r="Z75" s="53">
        <f t="shared" si="15"/>
        <v>0</v>
      </c>
      <c r="AA75" s="79">
        <f t="shared" si="29"/>
        <v>0</v>
      </c>
      <c r="AB75" s="53">
        <f t="shared" si="16"/>
        <v>0</v>
      </c>
      <c r="AC75" s="79">
        <f t="shared" si="30"/>
        <v>0</v>
      </c>
      <c r="AD75" s="53">
        <f t="shared" si="17"/>
        <v>0</v>
      </c>
    </row>
    <row r="76" spans="1:31" s="2" customFormat="1" ht="18" hidden="1" customHeight="1">
      <c r="A76" s="84"/>
      <c r="B76" s="22"/>
      <c r="C76" s="146"/>
      <c r="D76" s="162"/>
      <c r="E76" s="159">
        <f>IF(E8&gt;$E$2+28,"",DATEDIF(E8,$E$2+28,"y"))</f>
        <v>118</v>
      </c>
      <c r="F76" s="159">
        <f>IF(F8&gt;$E$2+28,"",DATEDIF(F8,$E$2+28,"y"))</f>
        <v>118</v>
      </c>
      <c r="G76" s="159">
        <f>IF(G8&gt;$E$2+28,"",DATEDIF(G8,$E$2+28,"y"))</f>
        <v>118</v>
      </c>
      <c r="H76" s="159">
        <f>IF(H8&gt;$E$2+28,"",DATEDIF(H8,$E$2+28,"y"))</f>
        <v>118</v>
      </c>
      <c r="I76" s="160">
        <f>IF(I8&gt;$E$2+28,"",DATEDIF(I8,$E$2+28,"y"))</f>
        <v>118</v>
      </c>
      <c r="J76" s="571">
        <f>IF(AND(I2="Februar",G2&lt;29),"",COUNTIF(E76:I76,"&lt;7"))</f>
        <v>0</v>
      </c>
      <c r="K76" s="64">
        <f t="shared" si="18"/>
        <v>0</v>
      </c>
      <c r="L76" s="385">
        <f t="shared" si="11"/>
        <v>0</v>
      </c>
      <c r="M76" s="391">
        <f>IF(AND(I2="Februar",G2&lt;29),"",SUMPRODUCT((E76:I76&gt;6)*(E76:I76&lt;18)))</f>
        <v>0</v>
      </c>
      <c r="N76" s="64">
        <f t="shared" si="20"/>
        <v>0</v>
      </c>
      <c r="O76" s="385">
        <f t="shared" si="21"/>
        <v>0</v>
      </c>
      <c r="P76" s="399">
        <f>IF(AND(I2="Februar",G2&lt;29),"",COUNTIF(E76:I76,"&lt;16"))</f>
        <v>0</v>
      </c>
      <c r="Q76" s="64">
        <f t="shared" si="12"/>
        <v>0</v>
      </c>
      <c r="R76" s="385">
        <f t="shared" si="23"/>
        <v>0</v>
      </c>
      <c r="S76" s="380">
        <f>IF(AND(I2="Februar",G2&lt;29),"",SUMPRODUCT((E76:I76&gt;15)*(E76:I76&lt;18)))</f>
        <v>0</v>
      </c>
      <c r="T76" s="383">
        <f t="shared" si="13"/>
        <v>0</v>
      </c>
      <c r="U76" s="64">
        <f t="shared" si="25"/>
        <v>0</v>
      </c>
      <c r="V76" s="174">
        <f>IF(AND(I2="Februar",G2&lt;29),"",SUMPRODUCT((E76:I76&gt;6)*(E76:I76&lt;16))+SUMPRODUCT((E76:I76&gt;15)*(E76:I76&lt;18)))</f>
        <v>0</v>
      </c>
      <c r="W76" s="64">
        <f t="shared" si="14"/>
        <v>0</v>
      </c>
      <c r="X76" s="385">
        <f t="shared" si="27"/>
        <v>0</v>
      </c>
      <c r="Y76" s="79">
        <f>IF(AND(I2="Februar",G2&lt;29),"",COUNTIF(E76:I76,"&lt;18"))</f>
        <v>0</v>
      </c>
      <c r="Z76" s="53">
        <f t="shared" si="15"/>
        <v>0</v>
      </c>
      <c r="AA76" s="79">
        <f>IF(AND(I2="Februar",G2&lt;29),"",COUNTIF(E76:I76,"&lt;18"))</f>
        <v>0</v>
      </c>
      <c r="AB76" s="53">
        <f t="shared" si="16"/>
        <v>0</v>
      </c>
      <c r="AC76" s="79">
        <f>IF(AND(I2="Februar",G2&lt;29),"",COUNTIF(E76:I76,"&lt;18"))</f>
        <v>0</v>
      </c>
      <c r="AD76" s="53">
        <f t="shared" si="17"/>
        <v>0</v>
      </c>
    </row>
    <row r="77" spans="1:31" s="2" customFormat="1" ht="18" hidden="1" customHeight="1">
      <c r="A77" s="84"/>
      <c r="B77" s="22"/>
      <c r="C77" s="146"/>
      <c r="D77" s="162"/>
      <c r="E77" s="159">
        <f>IF(E8&gt;$E$2+29,"",DATEDIF(E8,$E$2+29,"y"))</f>
        <v>118</v>
      </c>
      <c r="F77" s="159">
        <f>IF(F8&gt;$E$2+29,"",DATEDIF(F8,$E$2+29,"y"))</f>
        <v>118</v>
      </c>
      <c r="G77" s="159">
        <f>IF(G8&gt;$E$2+29,"",DATEDIF(G8,$E$2+29,"y"))</f>
        <v>118</v>
      </c>
      <c r="H77" s="159">
        <f>IF(H8&gt;$E$2+29,"",DATEDIF(H8,$E$2+29,"y"))</f>
        <v>118</v>
      </c>
      <c r="I77" s="160">
        <f>IF(I8&gt;$E$2+29,"",DATEDIF(I8,$E$2+29,"y"))</f>
        <v>118</v>
      </c>
      <c r="J77" s="571">
        <f>IF(I2="Februar","",COUNTIF(E77:I77,"&lt;7"))</f>
        <v>0</v>
      </c>
      <c r="K77" s="64">
        <f t="shared" si="18"/>
        <v>0</v>
      </c>
      <c r="L77" s="385">
        <f t="shared" si="11"/>
        <v>0</v>
      </c>
      <c r="M77" s="391">
        <f>IF(I2="Februar","",SUMPRODUCT((E77:I77&gt;6)*(E77:I77&lt;18)))</f>
        <v>0</v>
      </c>
      <c r="N77" s="64">
        <f t="shared" si="20"/>
        <v>0</v>
      </c>
      <c r="O77" s="385">
        <f t="shared" si="21"/>
        <v>0</v>
      </c>
      <c r="P77" s="399">
        <f>IF(I2="Februar","",COUNTIF(E77:I77,"&lt;16"))</f>
        <v>0</v>
      </c>
      <c r="Q77" s="64">
        <f t="shared" si="12"/>
        <v>0</v>
      </c>
      <c r="R77" s="385">
        <f t="shared" si="23"/>
        <v>0</v>
      </c>
      <c r="S77" s="380">
        <f>IF(I2="Februar","",SUMPRODUCT((E77:I77&gt;15)*(E77:I77&lt;18)))</f>
        <v>0</v>
      </c>
      <c r="T77" s="383">
        <f t="shared" si="13"/>
        <v>0</v>
      </c>
      <c r="U77" s="64">
        <f t="shared" si="25"/>
        <v>0</v>
      </c>
      <c r="V77" s="174">
        <f>IF(I2="Februar","",SUMPRODUCT((E77:I77&gt;6)*(E77:I77&lt;16))+SUMPRODUCT((E77:I77&gt;15)*(E77:I77&lt;18)))</f>
        <v>0</v>
      </c>
      <c r="W77" s="64">
        <f t="shared" si="14"/>
        <v>0</v>
      </c>
      <c r="X77" s="385">
        <f t="shared" si="27"/>
        <v>0</v>
      </c>
      <c r="Y77" s="79">
        <f>IF(I2="Februar","",COUNTIF(E77:I77,"&lt;18"))</f>
        <v>0</v>
      </c>
      <c r="Z77" s="53">
        <f t="shared" si="15"/>
        <v>0</v>
      </c>
      <c r="AA77" s="79">
        <f>IF(I2="Februar","",COUNTIF(E77:I77,"&lt;18"))</f>
        <v>0</v>
      </c>
      <c r="AB77" s="53">
        <f t="shared" si="16"/>
        <v>0</v>
      </c>
      <c r="AC77" s="79">
        <f>IF(I2="Februar","",COUNTIF(E77:I77,"&lt;18"))</f>
        <v>0</v>
      </c>
      <c r="AD77" s="53">
        <f t="shared" si="17"/>
        <v>0</v>
      </c>
    </row>
    <row r="78" spans="1:31" s="2" customFormat="1" ht="18" hidden="1" customHeight="1" thickBot="1">
      <c r="A78" s="84"/>
      <c r="B78" s="22"/>
      <c r="C78" s="146"/>
      <c r="D78" s="162"/>
      <c r="E78" s="159">
        <f>IF(E8&gt;$E$2+30,"",DATEDIF(E8,$E$2+30,"y"))</f>
        <v>118</v>
      </c>
      <c r="F78" s="159">
        <f>IF(F8&gt;$E$2+30,"",DATEDIF(F8,$E$2+30,"y"))</f>
        <v>118</v>
      </c>
      <c r="G78" s="159">
        <f>IF(G8&gt;$E$2+30,"",DATEDIF(G8,$E$2+30,"y"))</f>
        <v>118</v>
      </c>
      <c r="H78" s="159">
        <f>IF(H8&gt;$E$2+30,"",DATEDIF(H8,$E$2+30,"y"))</f>
        <v>118</v>
      </c>
      <c r="I78" s="160">
        <f>IF(I8&gt;$E$2+30,"",DATEDIF(I8,$E$2+30,"y"))</f>
        <v>118</v>
      </c>
      <c r="J78" s="571" t="str">
        <f>IF(G2&lt;31,"",COUNTIF(E78:I78,"&lt;7"))</f>
        <v/>
      </c>
      <c r="K78" s="64">
        <f t="shared" si="18"/>
        <v>0</v>
      </c>
      <c r="L78" s="385">
        <f t="shared" si="11"/>
        <v>0</v>
      </c>
      <c r="M78" s="395" t="str">
        <f>IF(G2&lt;31,"",SUMPRODUCT((E78:I78&gt;6)*(E78:I78&lt;18)))</f>
        <v/>
      </c>
      <c r="N78" s="396">
        <f t="shared" si="20"/>
        <v>0</v>
      </c>
      <c r="O78" s="385">
        <f t="shared" si="21"/>
        <v>0</v>
      </c>
      <c r="P78" s="399" t="str">
        <f>IF(G2&lt;31,"",COUNTIF(E78:I78,"&lt;16"))</f>
        <v/>
      </c>
      <c r="Q78" s="64">
        <f t="shared" si="12"/>
        <v>0</v>
      </c>
      <c r="R78" s="385">
        <f t="shared" si="23"/>
        <v>0</v>
      </c>
      <c r="S78" s="380" t="str">
        <f>IF(G2&lt;31,"",SUMPRODUCT((E78:I78&gt;15)*(E78:I78&lt;18)))</f>
        <v/>
      </c>
      <c r="T78" s="383">
        <f t="shared" si="13"/>
        <v>0</v>
      </c>
      <c r="U78" s="64">
        <f t="shared" si="25"/>
        <v>0</v>
      </c>
      <c r="V78" s="174" t="str">
        <f>IF(G2&lt;31,"",SUMPRODUCT((E78:I78&gt;6)*(E78:I78&lt;16))+SUMPRODUCT((E78:I78&gt;15)*(E78:I78&lt;18)))</f>
        <v/>
      </c>
      <c r="W78" s="64">
        <f t="shared" si="14"/>
        <v>0</v>
      </c>
      <c r="X78" s="385">
        <f t="shared" si="27"/>
        <v>0</v>
      </c>
      <c r="Y78" s="79" t="str">
        <f>IF(G2&lt;31,"",COUNTIF(E78:I78,"&lt;18"))</f>
        <v/>
      </c>
      <c r="Z78" s="53">
        <f t="shared" si="15"/>
        <v>0</v>
      </c>
      <c r="AA78" s="79" t="str">
        <f>IF(G2&lt;31,"",COUNTIF(E78:I78,"&lt;18"))</f>
        <v/>
      </c>
      <c r="AB78" s="53">
        <f t="shared" si="16"/>
        <v>0</v>
      </c>
      <c r="AC78" s="79" t="str">
        <f>IF(G2&lt;31,"",COUNTIF(E78:I78,"&lt;18"))</f>
        <v/>
      </c>
      <c r="AD78" s="53">
        <f t="shared" si="17"/>
        <v>0</v>
      </c>
    </row>
    <row r="79" spans="1:31" s="2" customFormat="1" ht="20.100000000000001" hidden="1" customHeight="1" thickBot="1">
      <c r="A79" s="111"/>
      <c r="B79" s="3"/>
      <c r="C79" s="25"/>
      <c r="D79" s="365"/>
      <c r="E79" s="37"/>
      <c r="F79" s="22"/>
      <c r="G79" s="37"/>
      <c r="H79" s="24"/>
      <c r="I79" s="573">
        <f>IF(AND(J33&gt;0,N33=0,Q33&gt;K33),H87*(F13-1)/30+H79,H79)</f>
        <v>0</v>
      </c>
      <c r="J79" s="572"/>
      <c r="K79" s="386"/>
      <c r="L79" s="379">
        <f>COUNTIF(L48:L78,"&gt;0")</f>
        <v>0</v>
      </c>
      <c r="M79" s="393"/>
      <c r="N79" s="392"/>
      <c r="O79" s="394">
        <f>COUNTIF(O48:O78,"&gt;0")</f>
        <v>0</v>
      </c>
      <c r="P79" s="400"/>
      <c r="Q79" s="390"/>
      <c r="R79" s="390">
        <f>COUNTIF(R48:R78,"&gt;0")</f>
        <v>0</v>
      </c>
      <c r="S79" s="381"/>
      <c r="T79" s="4"/>
      <c r="U79" s="387">
        <f>COUNTIF(U48:U78,"&gt;0")</f>
        <v>0</v>
      </c>
      <c r="V79" s="389"/>
      <c r="W79" s="386"/>
      <c r="X79" s="390">
        <f>COUNTIF(X48:X78,"&gt;0")</f>
        <v>0</v>
      </c>
      <c r="Y79" s="381"/>
      <c r="Z79" s="379">
        <f>COUNTIF(Z48:Z78,"&gt;0")</f>
        <v>0</v>
      </c>
      <c r="AA79" s="381"/>
      <c r="AB79" s="379">
        <f>COUNTIF(AB48:AB78,"&gt;0")</f>
        <v>0</v>
      </c>
      <c r="AC79" s="381"/>
      <c r="AD79" s="379">
        <f>COUNTIF(AD48:AD78,"&gt;0")</f>
        <v>0</v>
      </c>
      <c r="AE79" s="367">
        <f>SUM(L79:AD79)</f>
        <v>0</v>
      </c>
    </row>
    <row r="80" spans="1:31" s="2" customFormat="1" ht="20.100000000000001" hidden="1" customHeight="1">
      <c r="A80" s="111"/>
      <c r="B80" s="22"/>
      <c r="C80" s="25"/>
      <c r="D80" s="3"/>
      <c r="E80" s="3"/>
      <c r="F80" s="20"/>
      <c r="G80" s="24"/>
      <c r="H80" s="24"/>
      <c r="I80" s="53"/>
      <c r="J80" s="363"/>
      <c r="L80" s="363">
        <f>$C$23*36%</f>
        <v>149.76</v>
      </c>
      <c r="M80" s="363"/>
      <c r="O80" s="363">
        <f>$C$23*12%</f>
        <v>49.92</v>
      </c>
      <c r="P80" s="363"/>
      <c r="R80" s="363">
        <f>$C$23*36%</f>
        <v>149.76</v>
      </c>
      <c r="S80" s="363"/>
      <c r="U80" s="363">
        <f>$C$23*24%</f>
        <v>99.84</v>
      </c>
      <c r="V80" s="363"/>
      <c r="X80" s="363">
        <f>$C$23*24%</f>
        <v>99.84</v>
      </c>
      <c r="Y80" s="363"/>
      <c r="Z80" s="363">
        <f>$C$23*36%</f>
        <v>149.76</v>
      </c>
      <c r="AA80" s="363"/>
      <c r="AB80" s="363">
        <f>$C$23*48%</f>
        <v>199.68</v>
      </c>
      <c r="AC80" s="363"/>
      <c r="AD80" s="363">
        <f>$C$23*60%</f>
        <v>249.6</v>
      </c>
    </row>
    <row r="81" spans="1:31" s="2" customFormat="1" ht="20.100000000000001" hidden="1" customHeight="1">
      <c r="A81" s="111"/>
      <c r="B81" s="22"/>
      <c r="C81" s="25"/>
      <c r="D81" s="3"/>
      <c r="E81" s="3"/>
      <c r="F81" s="20"/>
      <c r="G81" s="24"/>
      <c r="H81" s="24"/>
      <c r="I81" s="53"/>
      <c r="J81" s="363"/>
      <c r="L81" s="368">
        <f>IF(AND($AE$47=1,$AE$79&gt;30,L48=0),L79-1,IF(AND($AE$47=1,$AE$79=28,L48=0),L79+2,IF(AND($AE$47=1,$AE$79=29,L48=0),L79+1,L79)))</f>
        <v>0</v>
      </c>
      <c r="M81" s="368"/>
      <c r="O81" s="368">
        <f>IF(AND($AE$47=1,$AE$79&gt;30,O48=0),O79-1,IF(AND($AE$47=1,$AE$79=28,O48=0),O79+2,IF(AND($AE$47=1,$AE$79=29,O48=0),O79+1,O79)))</f>
        <v>0</v>
      </c>
      <c r="P81" s="368"/>
      <c r="Q81" s="368"/>
      <c r="R81" s="368">
        <f>IF(AND($AE$47=1,$AE$79&gt;30,R48=0),R79-1,IF(AND($AE$47=1,$AE$79=28,R48=0),R79+2,IF(AND($AE$47=1,$AE$79=29,R48=0),R79+1,R79)))</f>
        <v>0</v>
      </c>
      <c r="S81" s="368"/>
      <c r="U81" s="368">
        <f>IF(AND($AE$47=1,$AE$79&gt;30,U48=0),U79-1,IF(AND($AE$47=1,$AE$79=28,U48=0),U79+2,IF(AND($AE$47=1,$AE$79=29,U48=0),U79+1,U79)))</f>
        <v>0</v>
      </c>
      <c r="V81" s="368"/>
      <c r="X81" s="368">
        <f>IF(AND($AE$47=1,$AE$79&gt;30,X48=0),X79-1,IF(AND($AE$47=1,$AE$79=28,X48=0),X79+2,IF(AND($AE$47=1,$AE$79=29,X48=0),X79+1,X79)))</f>
        <v>0</v>
      </c>
      <c r="Y81" s="368"/>
      <c r="Z81" s="368">
        <f>IF(AND($AE$47=1,$AE$79&gt;30,Z48=0),Z79-1,IF(AND($AE$47=1,$AE$79=28,Z48=0),Z79+2,IF(AND($AE$47=1,$AE$79=29,Z48=0),Z79+1,Z79)))</f>
        <v>0</v>
      </c>
      <c r="AA81" s="368"/>
      <c r="AB81" s="368">
        <f>IF(AND($AE$47=1,$AE$79&gt;30,AB48=0),AB79-1,IF(AND($AE$47=1,$AE$79=28,AB48=0),AB79+2,IF(AND($AE$47=1,$AE$79=29,AB48=0),AB79+1,AB79)))</f>
        <v>0</v>
      </c>
      <c r="AC81" s="368"/>
      <c r="AD81" s="368">
        <f>IF(AND($AE$47=1,$AE$79&gt;30,AD48=0),AD79-1,IF(AND($AE$47=1,$AE$79=28,AD48=0),AD79+2,IF(AND($AE$47=1,$AE$79=29,AD48=0),AD79+1,AD79)))</f>
        <v>0</v>
      </c>
    </row>
    <row r="82" spans="1:31" s="2" customFormat="1" ht="20.100000000000001" hidden="1" customHeight="1">
      <c r="A82" s="111"/>
      <c r="B82" s="22"/>
      <c r="C82" s="25"/>
      <c r="D82" s="3"/>
      <c r="E82" s="3"/>
      <c r="F82" s="20"/>
      <c r="G82" s="24"/>
      <c r="H82" s="24"/>
      <c r="I82" s="53"/>
      <c r="J82" s="363"/>
      <c r="L82" s="368">
        <f>IF(AND($AE$79&gt;30,L79=L81),30,IF(AND($AE$79=28,$I$2="februar",L79=L81),30,IF(AND($AE$79=29,$I$2="Februar"),30,L81)))</f>
        <v>0</v>
      </c>
      <c r="M82" s="368"/>
      <c r="O82" s="368">
        <f>IF(AND($AE$79&gt;30,O79=O81),30,IF(AND($AE$79=28,$I$2="februar",O79=O81),30,IF(AND($AE$79=29,$I$2="Februar"),30,O81)))</f>
        <v>0</v>
      </c>
      <c r="P82" s="368"/>
      <c r="Q82" s="368"/>
      <c r="R82" s="368">
        <f>IF(AND($AE$79&gt;30,R79=R81),30,IF(AND($AE$79=28,$I$2="februar",R79=R81),30,IF(AND($AE$79=29,$I$2="Februar"),30,R81)))</f>
        <v>0</v>
      </c>
      <c r="S82" s="368"/>
      <c r="U82" s="368">
        <f>IF(AND($AE$79&gt;30,U79=U81),30,IF(AND($AE$79=28,$I$2="februar",U79=U81),30,IF(AND($AE$79=29,$I$2="Februar"),30,U81)))</f>
        <v>0</v>
      </c>
      <c r="V82" s="368"/>
      <c r="X82" s="368">
        <f>IF(AND($AE$79&gt;30,X79=X81),30,IF(AND($AE$79=28,$I$2="februar",X79=X81),30,IF(AND($AE$79=29,$I$2="Februar"),30,X81)))</f>
        <v>0</v>
      </c>
      <c r="Y82" s="368"/>
      <c r="Z82" s="368">
        <f>IF(AND($AE$79&gt;30,Z79=Z81),30,IF(AND($AE$79=28,$I$2="februar",Z79=Z81),30,IF(AND($AE$79=29,$I$2="Februar"),30,Z81)))</f>
        <v>0</v>
      </c>
      <c r="AA82" s="368"/>
      <c r="AB82" s="368">
        <f>IF(AND($AE$79&gt;30,AB79=AB81),30,IF(AND($AE$79=28,$I$2="februar",AB79=AB81),30,IF(AND($AE$79=29,$I$2="Februar"),30,AB81)))</f>
        <v>0</v>
      </c>
      <c r="AC82" s="368"/>
      <c r="AD82" s="368">
        <f>IF(AND($AE$79&gt;30,AD79=AD81),30,IF(AND($AE$79=28,$I$2="februar",AD79=AD81),30,IF(AND($AE$79=29,$I$2="Februar"),30,AD81)))</f>
        <v>0</v>
      </c>
    </row>
    <row r="83" spans="1:31" s="2" customFormat="1" ht="20.100000000000001" hidden="1" customHeight="1">
      <c r="A83" s="111"/>
      <c r="B83" s="22"/>
      <c r="C83" s="25"/>
      <c r="D83" s="3"/>
      <c r="E83" s="3"/>
      <c r="F83" s="20"/>
      <c r="G83" s="24"/>
      <c r="H83" s="24"/>
      <c r="I83" s="53"/>
      <c r="J83" s="363"/>
      <c r="L83" s="368">
        <f>IF(OR(Q89&gt;0,O84&gt;0),L81,L82)</f>
        <v>0</v>
      </c>
      <c r="M83" s="368"/>
      <c r="N83" s="368"/>
      <c r="O83" s="368">
        <f>IF(R80&lt;&gt;Q89,O81,O82)</f>
        <v>0</v>
      </c>
      <c r="P83" s="368"/>
      <c r="Q83" s="368"/>
      <c r="R83" s="368">
        <f>IF(OR(X90&gt;0,Z86&gt;0),R81,R82)</f>
        <v>0</v>
      </c>
      <c r="S83" s="368"/>
      <c r="U83" s="368">
        <f>IF(O84&gt;0,U81,U82)</f>
        <v>0</v>
      </c>
      <c r="V83" s="368"/>
      <c r="X83" s="368">
        <f>IF(AND(Z79&gt;0,U79&gt;0),X81,IF(Z79&gt;0,X81,X82))</f>
        <v>0</v>
      </c>
      <c r="Y83" s="368"/>
      <c r="Z83" s="368">
        <f>IF(AB84&gt;0,Z81,Z82)</f>
        <v>0</v>
      </c>
      <c r="AA83" s="368"/>
      <c r="AB83" s="368">
        <f>IF(AD83&gt;0,AB81,AB82)</f>
        <v>0</v>
      </c>
      <c r="AC83" s="368"/>
      <c r="AD83" s="363">
        <f>IF(AD79=0,0,AD80/$H$2*AD82)</f>
        <v>0</v>
      </c>
    </row>
    <row r="84" spans="1:31" s="2" customFormat="1" ht="20.100000000000001" hidden="1" customHeight="1">
      <c r="A84" s="111"/>
      <c r="B84" s="22"/>
      <c r="C84" s="25"/>
      <c r="D84" s="3"/>
      <c r="E84" s="3"/>
      <c r="F84" s="20"/>
      <c r="G84" s="24"/>
      <c r="H84" s="24"/>
      <c r="I84" s="53"/>
      <c r="J84" s="363"/>
      <c r="L84" s="368">
        <f>IF(Z86&gt;0,L81,L83)</f>
        <v>0</v>
      </c>
      <c r="M84" s="368"/>
      <c r="N84" s="368"/>
      <c r="O84" s="363">
        <f>IF(O79=0,0,O80/$H$2*O83)</f>
        <v>0</v>
      </c>
      <c r="P84" s="368"/>
      <c r="Q84" s="368"/>
      <c r="R84" s="368">
        <f>IF(AND($AE$79&gt;30,R78=0),R79,IF(AND($AE$79=28,$I$2="februar",R75=0),R79,IF(AND($AE$79=29,$I$2="Februar",R76=0),R79,R83)))</f>
        <v>0</v>
      </c>
      <c r="S84" s="368"/>
      <c r="T84" s="368"/>
      <c r="U84" s="368">
        <f>IF(Z86&gt;0,U81,U83)</f>
        <v>0</v>
      </c>
      <c r="V84" s="368"/>
      <c r="X84" s="368">
        <f>IF(AND($AE$79&gt;30,X78=0),X79,IF(AND($AE$79=28,$I$2="februar",X75=0),X79,IF(AND($AE$79=29,$I$2="Februar",X76=0),X79,X83)))</f>
        <v>0</v>
      </c>
      <c r="Y84" s="368"/>
      <c r="Z84" s="368">
        <f>IF(X90&gt;0,Z81,Z83)</f>
        <v>0</v>
      </c>
      <c r="AA84" s="368"/>
      <c r="AB84" s="363">
        <f>IF(AB79=0,0,AB80/$H$2*AB83)</f>
        <v>0</v>
      </c>
      <c r="AC84" s="368"/>
      <c r="AD84" s="398">
        <f>IF(AND($AE$79&gt;30,AD78=0),AD80/30*AD79,IF(AND($AE$79=28,$I$2="februar",AD75=0),AD80/30*AD79,IF(AND($AE$79=29,$I$2="Februar",AD76=0),AD80/30*AD79,AD83)))</f>
        <v>0</v>
      </c>
    </row>
    <row r="85" spans="1:31" s="2" customFormat="1" ht="20.100000000000001" hidden="1" customHeight="1">
      <c r="A85" s="111"/>
      <c r="B85" s="22"/>
      <c r="C85" s="25"/>
      <c r="D85" s="3"/>
      <c r="E85" s="3"/>
      <c r="F85" s="20"/>
      <c r="G85" s="24"/>
      <c r="H85" s="24"/>
      <c r="I85" s="53"/>
      <c r="J85" s="363"/>
      <c r="L85" s="368">
        <f>IF(AND($AE$79&gt;30,L78=0),L79,IF(AND($AE$79=28,$I$2="februar",L75=0),L79,IF(AND($AE$79=29,$I$2="Februar",L76=0),L79,L84)))</f>
        <v>0</v>
      </c>
      <c r="M85" s="368"/>
      <c r="N85" s="368"/>
      <c r="O85" s="398">
        <f>IF(AND($AE$79&gt;30,O78=0),O80/30*O79,IF(AND($AE$79=28,$I$2="februar",O75=0),O80/30*O79,IF(AND($AE$79=29,$I$2="Februar",O76=0),O80/30*O79,O84)))</f>
        <v>0</v>
      </c>
      <c r="P85" s="368"/>
      <c r="Q85" s="368"/>
      <c r="R85" s="368"/>
      <c r="S85" s="368"/>
      <c r="T85" s="368"/>
      <c r="U85" s="368">
        <f>IF(AND($AE$79&gt;30,U78=0),U79,IF(AND($AE$79=28,$I$2="februar",U75=0),U79,IF(AND($AE$79=29,$I$2="Februar",U76=0),U79,U84)))</f>
        <v>0</v>
      </c>
      <c r="V85" s="368"/>
      <c r="X85" s="368"/>
      <c r="Y85" s="368"/>
      <c r="Z85" s="368">
        <f>IF(O79&gt;0,Z81,Z84)</f>
        <v>0</v>
      </c>
      <c r="AA85" s="368"/>
      <c r="AB85" s="363">
        <f>IF(AND(AB48&gt;0,Z86&lt;Z80),AB84/$H$2*AB81,AB84)</f>
        <v>0</v>
      </c>
      <c r="AC85" s="368"/>
      <c r="AD85" s="368"/>
    </row>
    <row r="86" spans="1:31" s="2" customFormat="1" ht="20.100000000000001" hidden="1" customHeight="1">
      <c r="A86" s="111"/>
      <c r="B86" s="22"/>
      <c r="C86" s="25"/>
      <c r="D86" s="3"/>
      <c r="E86" s="3"/>
      <c r="F86" s="20"/>
      <c r="G86" s="24"/>
      <c r="H86" s="24"/>
      <c r="I86" s="53"/>
      <c r="J86" s="363"/>
      <c r="L86" s="368"/>
      <c r="M86" s="368"/>
      <c r="N86" s="368"/>
      <c r="O86" s="398">
        <f>IF(AND(I2="Februar",O79&gt;27,O48&gt;0),O80,O85)</f>
        <v>0</v>
      </c>
      <c r="P86" s="368"/>
      <c r="Q86" s="368"/>
      <c r="R86" s="368"/>
      <c r="S86" s="368"/>
      <c r="T86" s="368"/>
      <c r="U86" s="368"/>
      <c r="V86" s="368"/>
      <c r="X86" s="368"/>
      <c r="Y86" s="368"/>
      <c r="Z86" s="363">
        <f>IF(Z79=0,0,Z80/$H$2*Z85)</f>
        <v>0</v>
      </c>
      <c r="AA86" s="368"/>
      <c r="AB86" s="363">
        <f>IF(AD83&lt;AD80,AB84,AB85)</f>
        <v>0</v>
      </c>
      <c r="AC86" s="368"/>
    </row>
    <row r="87" spans="1:31" s="2" customFormat="1" ht="20.100000000000001" hidden="1" customHeight="1">
      <c r="A87" s="111"/>
      <c r="B87" s="22"/>
      <c r="C87" s="25"/>
      <c r="D87" s="3"/>
      <c r="E87" s="3"/>
      <c r="F87" s="149"/>
      <c r="G87" s="24"/>
      <c r="H87" s="24"/>
      <c r="I87" s="53"/>
      <c r="J87" s="363"/>
      <c r="M87" s="366"/>
      <c r="P87" s="366"/>
      <c r="S87" s="366"/>
      <c r="V87" s="366"/>
      <c r="Y87" s="366"/>
      <c r="Z87" s="398">
        <f>IF(AND(U90&gt;0,U90&lt;&gt;U80),Z86/$H$2*Z81,Z86)</f>
        <v>0</v>
      </c>
      <c r="AA87" s="366"/>
      <c r="AB87" s="398">
        <f>IF(AND($AE$79&gt;30,AB78&gt;0,AD79&gt;0),AB80/30*(AB79-1),IF(AND($AE$79&gt;30,AB78&gt;0,Z79&gt;0),AB80/30*(AB79-1),AB86))</f>
        <v>0</v>
      </c>
      <c r="AC87" s="366"/>
    </row>
    <row r="88" spans="1:31" s="2" customFormat="1" ht="20.100000000000001" hidden="1" customHeight="1">
      <c r="A88" s="111"/>
      <c r="B88" s="22"/>
      <c r="C88" s="25"/>
      <c r="D88" s="3"/>
      <c r="E88" s="3"/>
      <c r="F88" s="149"/>
      <c r="G88" s="24"/>
      <c r="H88" s="24"/>
      <c r="I88" s="53"/>
      <c r="J88" s="363"/>
      <c r="M88" s="366"/>
      <c r="P88" s="366"/>
      <c r="S88" s="366"/>
      <c r="V88" s="366"/>
      <c r="Y88" s="366"/>
      <c r="Z88" s="398">
        <f>IF(AND(U90&gt;0,X90&gt;0),Z86,IF(AND(U90&gt;0,AE79=31,Z78&gt;0),Z86,IF(AND(U90&gt;0,AE79=30,Z77&gt;0),Z86,IF(AND(U90&gt;0,AE79=28,I2="Februar",Z75&gt;0),Z86,Z87))))</f>
        <v>0</v>
      </c>
      <c r="AA88" s="366"/>
      <c r="AB88" s="365">
        <f>MIN(AB85,AB87)</f>
        <v>0</v>
      </c>
      <c r="AC88" s="366"/>
    </row>
    <row r="89" spans="1:31" s="2" customFormat="1" ht="20.100000000000001" hidden="1" customHeight="1">
      <c r="A89" s="111"/>
      <c r="B89" s="22"/>
      <c r="C89" s="25"/>
      <c r="D89" s="3"/>
      <c r="E89" s="3"/>
      <c r="F89" s="149"/>
      <c r="G89" s="24"/>
      <c r="H89" s="24"/>
      <c r="I89" s="53"/>
      <c r="J89" s="363"/>
      <c r="M89" s="366"/>
      <c r="P89" s="366"/>
      <c r="Q89" s="366"/>
      <c r="S89" s="366"/>
      <c r="V89" s="366"/>
      <c r="Y89" s="366"/>
      <c r="Z89" s="398">
        <f>IF(AND(L90&gt;0,U90&gt;0,L84&lt;L79),Z80/30*Z79,IF(AND(L90&gt;0,U90&gt;0,U84&lt;U79),Z80/30*Z79,IF(AND(L90&gt;0,U90&gt;0,L84=L79,U84=U79),Z80/30*Z85,Z88)))</f>
        <v>0</v>
      </c>
      <c r="AA89" s="366"/>
      <c r="AC89" s="366"/>
    </row>
    <row r="90" spans="1:31" s="2" customFormat="1" ht="20.100000000000001" hidden="1" customHeight="1">
      <c r="A90" s="111"/>
      <c r="B90" s="22"/>
      <c r="C90" s="25"/>
      <c r="D90" s="3"/>
      <c r="E90" s="3"/>
      <c r="F90" s="149"/>
      <c r="G90" s="24"/>
      <c r="H90" s="24"/>
      <c r="I90" s="53"/>
      <c r="J90" s="363"/>
      <c r="L90" s="366">
        <f>IF(L79=0,0,L80/$H$2*L85)</f>
        <v>0</v>
      </c>
      <c r="M90" s="366"/>
      <c r="O90" s="366">
        <f>IF(O84&gt;O80,O80/$H$2*O82,O86)</f>
        <v>0</v>
      </c>
      <c r="P90" s="366"/>
      <c r="Q90" s="366"/>
      <c r="R90" s="366">
        <f>IF(OR(Z86&gt;137.51,R79=0),0,R80/$H$2*R84)</f>
        <v>0</v>
      </c>
      <c r="S90" s="366"/>
      <c r="U90" s="366">
        <f>IF(U79=0,0,U80/$H$2*U85)</f>
        <v>0</v>
      </c>
      <c r="V90" s="366"/>
      <c r="X90" s="366">
        <f>IF(X79=0,0,X80/$H$2*X84)</f>
        <v>0</v>
      </c>
      <c r="Y90" s="366"/>
      <c r="Z90" s="397">
        <f>IF(AND($AE$79&gt;30,Z78&gt;0,X79&gt;0,R79&gt;0),Z80/30*(Z79-1),Z89)</f>
        <v>0</v>
      </c>
      <c r="AA90" s="366"/>
      <c r="AB90" s="401">
        <f>IF(AB86+Z89&gt;AB80,AB88,AB87)</f>
        <v>0</v>
      </c>
      <c r="AC90" s="366"/>
      <c r="AD90" s="397">
        <f>IF(AND(AB48=0,AB90&gt;0),AD83/$H$2*AD81,AD84)</f>
        <v>0</v>
      </c>
      <c r="AE90" s="369">
        <f>IF(Z89=Z80,Z89,SUM(L90:AD90))</f>
        <v>0</v>
      </c>
    </row>
    <row r="91" spans="1:31" s="2" customFormat="1" ht="20.100000000000001" hidden="1" customHeight="1">
      <c r="A91" s="84" t="s">
        <v>57</v>
      </c>
      <c r="B91" s="22"/>
      <c r="C91" s="25">
        <f>Eingabetabelle!D37</f>
        <v>0</v>
      </c>
      <c r="D91" s="25">
        <f>Eingabetabelle!E37</f>
        <v>0</v>
      </c>
      <c r="E91" s="25">
        <f>Eingabetabelle!F37</f>
        <v>0</v>
      </c>
      <c r="F91" s="25">
        <f>Eingabetabelle!G37</f>
        <v>0</v>
      </c>
      <c r="G91" s="25">
        <f>Eingabetabelle!H37</f>
        <v>0</v>
      </c>
      <c r="H91" s="25">
        <f>Eingabetabelle!I37</f>
        <v>0</v>
      </c>
      <c r="I91" s="25">
        <f>Eingabetabelle!J37</f>
        <v>0</v>
      </c>
    </row>
    <row r="92" spans="1:31" s="2" customFormat="1" ht="16.5" hidden="1">
      <c r="A92" s="84"/>
      <c r="B92" s="22"/>
      <c r="C92" s="25">
        <f>IF(C91="ja",C23*35/100,0)</f>
        <v>0</v>
      </c>
      <c r="D92" s="25">
        <f>IF(D91="ja",D23*35/100,0)</f>
        <v>0</v>
      </c>
      <c r="E92" s="25">
        <f>IF(AND(E18&gt;14,E91="ja"),E33*35/100,0)</f>
        <v>0</v>
      </c>
      <c r="F92" s="25">
        <f>IF(AND(F18&gt;14,F91="ja"),F33*35/100,0)</f>
        <v>0</v>
      </c>
      <c r="G92" s="25">
        <f>IF(AND(G18&gt;14,G91="ja"),G33*35/100,0)</f>
        <v>0</v>
      </c>
      <c r="H92" s="25">
        <f>IF(AND(H18&gt;14,H91="ja"),H33*35/100,0)</f>
        <v>0</v>
      </c>
      <c r="I92" s="275">
        <f>IF(AND(I18&gt;14,I91="ja"),I33*35/100,0)</f>
        <v>0</v>
      </c>
    </row>
    <row r="93" spans="1:31" s="2" customFormat="1" ht="18.75" hidden="1" customHeight="1">
      <c r="A93" s="334" t="s">
        <v>24</v>
      </c>
      <c r="B93" s="973" t="s">
        <v>180</v>
      </c>
      <c r="C93" s="1506">
        <f>Eingabetabelle!D32</f>
        <v>0</v>
      </c>
      <c r="D93" s="1506">
        <f>Eingabetabelle!E32</f>
        <v>0</v>
      </c>
      <c r="E93" s="1506">
        <f>Eingabetabelle!F31</f>
        <v>0</v>
      </c>
      <c r="F93" s="1506">
        <f>Eingabetabelle!G31</f>
        <v>0</v>
      </c>
      <c r="G93" s="1506">
        <f>Eingabetabelle!H31</f>
        <v>0</v>
      </c>
      <c r="H93" s="1506">
        <f>Eingabetabelle!I31</f>
        <v>0</v>
      </c>
      <c r="I93" s="1506">
        <f>Eingabetabelle!J31</f>
        <v>0</v>
      </c>
      <c r="J93" s="3"/>
    </row>
    <row r="94" spans="1:31" s="2" customFormat="1" ht="20.100000000000001" hidden="1" customHeight="1">
      <c r="A94" s="79" t="s">
        <v>2261</v>
      </c>
      <c r="B94" s="22"/>
      <c r="C94" s="36">
        <f>Eingabetabelle!D42</f>
        <v>0</v>
      </c>
      <c r="D94" s="36">
        <f>Eingabetabelle!E42</f>
        <v>0</v>
      </c>
      <c r="E94" s="36">
        <f>Eingabetabelle!F42</f>
        <v>0</v>
      </c>
      <c r="F94" s="36">
        <f>Eingabetabelle!G42</f>
        <v>0</v>
      </c>
      <c r="G94" s="36">
        <f>Eingabetabelle!H42</f>
        <v>0</v>
      </c>
      <c r="H94" s="36">
        <f>Eingabetabelle!I42</f>
        <v>0</v>
      </c>
      <c r="I94" s="36">
        <f>Eingabetabelle!J42</f>
        <v>0</v>
      </c>
    </row>
    <row r="95" spans="1:31" s="2" customFormat="1" ht="20.100000000000001" hidden="1" customHeight="1">
      <c r="A95" s="84" t="s">
        <v>2262</v>
      </c>
      <c r="B95" s="258" t="str">
        <f>WWPauschale</f>
        <v>Nein</v>
      </c>
      <c r="C95" s="1262">
        <f>C33*2.3/100</f>
        <v>9.5679999999999996</v>
      </c>
      <c r="D95" s="1263">
        <f>IF(AND(D22=17,D18=18),D25*2.3/100+D26*1.4/100,0)</f>
        <v>0</v>
      </c>
      <c r="E95" s="1263">
        <f>IF(AND(E18=6,E16=5),E25*1.2%+E26*0.8%,IF(AND(E18=14,E16=13),E25*1.4%+E26*1.2%,IF(AND(E18=18,E16=17),E25*2.3%+E26*1.4%,IF(E18&gt;24,E33*2.3%,0))))</f>
        <v>0</v>
      </c>
      <c r="F95" s="1263">
        <f>IF(AND(F18=6,F16=5),F25*1.2%+F26*0.8%,IF(AND(F18=14,F16=13),F25*1.4%+F26*1.2%,IF(AND(F18=18,F16=17),F25*2.3%+F26*1.4%,IF(F18&gt;24,F33*2.3%,0))))</f>
        <v>0</v>
      </c>
      <c r="G95" s="1263">
        <f>IF(AND(G18=6,G16=5),G25*1.2%+G26*0.8%,IF(AND(G18=14,G16=13),G25*1.4%+G26*1.2%,IF(AND(G18=18,G16=17),G25*2.3%+G26*1.4%,IF(G18&gt;24,G33*2.3%,0))))</f>
        <v>0</v>
      </c>
      <c r="H95" s="1263">
        <f>IF(AND(H18=6,H16=5),H25*1.2%+H26*0.8%,IF(AND(H18=14,H16=13),H25*1.4%+H26*1.2%,IF(AND(H18=18,H16=17),H25*2.3%+H26*1.4%,IF(H18&gt;24,H33*2.3%,0))))</f>
        <v>0</v>
      </c>
      <c r="I95" s="1264">
        <f>IF(AND(I18=6,I16=5),I25*1.2%+I26*0.8%,IF(AND(I18=14,I16=13),I25*1.4%+I26*1.2%,IF(AND(I18=18,I16=17),I25*2.3%+I26*1.4%,IF(I18&gt;24,I33*2.3%,0))))</f>
        <v>0</v>
      </c>
    </row>
    <row r="96" spans="1:31" s="2" customFormat="1" ht="20.100000000000001" hidden="1" customHeight="1">
      <c r="A96" s="85"/>
      <c r="B96" s="260"/>
      <c r="C96" s="259"/>
      <c r="D96" s="259">
        <f>IF(D22&gt;17,D33*2.3/100,D95)</f>
        <v>0</v>
      </c>
      <c r="E96" s="259">
        <f>IF(E33=0,0,IF(E33&lt;224,E33*0.8%,IF(AND(E16&lt;6,E18&lt;6),E23*0.8/100,IF(AND(E16&lt;14,E18&lt;14),E23*1.2/100,IF(AND(E16&lt;18,E18&lt;18),E23*1.4/100,E23*2.3/100)))))</f>
        <v>0</v>
      </c>
      <c r="F96" s="259">
        <f>IF(F33=0,0,IF(F33&lt;224,F33*0.8%,IF(AND(F16&lt;6,F18&lt;6),F23*0.8/100,IF(AND(F16&lt;14,F18&lt;14),F23*1.2/100,IF(AND(F16&lt;18,F18&lt;18),F23*1.4/100,F23*2.3/100)))))</f>
        <v>0</v>
      </c>
      <c r="G96" s="259">
        <f>IF(G33=0,0,IF(G33&lt;224,G33*0.8%,IF(AND(G16&lt;6,G18&lt;6),G23*0.8/100,IF(AND(G16&lt;14,G18&lt;14),G23*1.2/100,IF(AND(G16&lt;18,G18&lt;18),G23*1.4/100,G23*2.3/100)))))</f>
        <v>0</v>
      </c>
      <c r="H96" s="259">
        <f>IF(H33=0,0,IF(H33&lt;224,H33*0.8%,IF(AND(H16&lt;6,H18&lt;6),H23*0.8/100,IF(AND(H16&lt;14,H18&lt;14),H23*1.2/100,IF(AND(H16&lt;18,H18&lt;18),H23*1.4/100,H23*2.3/100)))))</f>
        <v>0</v>
      </c>
      <c r="I96" s="277">
        <f>IF(I33=0,0,IF(I33&lt;224,I33*0.8%,IF(AND(I16&lt;6,I18&lt;6),I23*0.8/100,IF(AND(I16&lt;14,I18&lt;14),I23*1.2/100,IF(AND(I16&lt;18,I18&lt;18),I23*1.4/100,I23*2.3/100)))))</f>
        <v>0</v>
      </c>
    </row>
    <row r="97" spans="1:9" s="2" customFormat="1" ht="20.100000000000001" hidden="1" customHeight="1">
      <c r="A97" s="85"/>
      <c r="B97" s="260"/>
      <c r="C97" s="259"/>
      <c r="D97" s="259"/>
      <c r="E97" s="259">
        <f>IF(E95&gt;0,E95,E96)</f>
        <v>0</v>
      </c>
      <c r="F97" s="259">
        <f>IF(F95&gt;0,F95,F96)</f>
        <v>0</v>
      </c>
      <c r="G97" s="259">
        <f>IF(G95&gt;0,G95,G96)</f>
        <v>0</v>
      </c>
      <c r="H97" s="259">
        <f>IF(H95&gt;0,H95,H96)</f>
        <v>0</v>
      </c>
      <c r="I97" s="277">
        <f>IF(I95&gt;0,I95,I96)</f>
        <v>0</v>
      </c>
    </row>
    <row r="98" spans="1:9" s="2" customFormat="1" ht="16.5" hidden="1">
      <c r="A98" s="85"/>
      <c r="B98" s="27"/>
      <c r="C98" s="36">
        <f>IF(B95="ja",C95,0)</f>
        <v>0</v>
      </c>
      <c r="D98" s="36">
        <f>IF(B95="ja",D96,0)</f>
        <v>0</v>
      </c>
      <c r="E98" s="36">
        <f>IF(B95="ja",E97,0)</f>
        <v>0</v>
      </c>
      <c r="F98" s="36">
        <f>IF(B95="ja",F97,0)</f>
        <v>0</v>
      </c>
      <c r="G98" s="36">
        <f>IF(B95="ja",G97,0)</f>
        <v>0</v>
      </c>
      <c r="H98" s="36">
        <f>IF(B95="ja",H97,0)</f>
        <v>0</v>
      </c>
      <c r="I98" s="278">
        <f>IF(B95="ja",I97,0)</f>
        <v>0</v>
      </c>
    </row>
    <row r="99" spans="1:9" s="2" customFormat="1" ht="20.100000000000001" hidden="1" customHeight="1" thickBot="1">
      <c r="A99" s="279" t="s">
        <v>11</v>
      </c>
      <c r="B99" s="12"/>
      <c r="C99" s="1210">
        <f>Eingabetabelle!D35</f>
        <v>0</v>
      </c>
      <c r="D99" s="1210"/>
      <c r="E99" s="1210"/>
      <c r="F99" s="1210"/>
      <c r="G99" s="1210"/>
      <c r="H99" s="1210"/>
      <c r="I99" s="1507"/>
    </row>
    <row r="100" spans="1:9" s="2" customFormat="1" ht="17.25" hidden="1" thickBot="1">
      <c r="A100" s="271"/>
      <c r="B100" s="272"/>
      <c r="C100" s="273">
        <f t="shared" ref="C100:I100" si="31">IF(AND(C18&gt;14,C99="ja"),C33*17/100,0)</f>
        <v>0</v>
      </c>
      <c r="D100" s="273">
        <f t="shared" si="31"/>
        <v>0</v>
      </c>
      <c r="E100" s="273">
        <f t="shared" si="31"/>
        <v>0</v>
      </c>
      <c r="F100" s="273">
        <f t="shared" si="31"/>
        <v>0</v>
      </c>
      <c r="G100" s="273">
        <f t="shared" si="31"/>
        <v>0</v>
      </c>
      <c r="H100" s="273">
        <f t="shared" si="31"/>
        <v>0</v>
      </c>
      <c r="I100" s="274">
        <f t="shared" si="31"/>
        <v>0</v>
      </c>
    </row>
    <row r="101" spans="1:9" s="2" customFormat="1" ht="26.25" hidden="1" customHeight="1">
      <c r="A101" s="87" t="s">
        <v>13</v>
      </c>
      <c r="B101" s="630" t="s">
        <v>30</v>
      </c>
      <c r="C101" s="1265"/>
      <c r="D101" s="1247"/>
      <c r="E101" s="1247"/>
      <c r="F101" s="1247"/>
      <c r="G101" s="1247"/>
      <c r="H101" s="1247"/>
      <c r="I101" s="1269"/>
    </row>
    <row r="102" spans="1:9" s="2" customFormat="1" ht="20.100000000000001" hidden="1" customHeight="1">
      <c r="A102" s="89" t="s">
        <v>14</v>
      </c>
      <c r="B102" s="26">
        <f>Eingabetabelle!C48</f>
        <v>0</v>
      </c>
      <c r="C102" s="1266">
        <f>B102/C5*B6</f>
        <v>0</v>
      </c>
      <c r="D102" s="64"/>
      <c r="E102" s="64"/>
      <c r="F102" s="64"/>
      <c r="G102" s="64"/>
      <c r="H102" s="64"/>
      <c r="I102" s="1104"/>
    </row>
    <row r="103" spans="1:9" s="2" customFormat="1" ht="20.100000000000001" hidden="1" customHeight="1">
      <c r="A103" s="89" t="s">
        <v>55</v>
      </c>
      <c r="B103" s="26"/>
      <c r="C103" s="1266">
        <f>B103/C5*B6</f>
        <v>0</v>
      </c>
      <c r="D103" s="64"/>
      <c r="E103" s="64"/>
      <c r="F103" s="64"/>
      <c r="G103" s="64"/>
      <c r="H103" s="64"/>
      <c r="I103" s="1104"/>
    </row>
    <row r="104" spans="1:9" s="2" customFormat="1" ht="20.100000000000001" hidden="1" customHeight="1">
      <c r="A104" s="1229">
        <f>IF(B102&gt;0,"./. Kostenanteil für",0)</f>
        <v>0</v>
      </c>
      <c r="B104" s="36"/>
      <c r="C104" s="1266">
        <f>IF(B102+B105+B106+B115&gt;0,B104/C5*B6,0)</f>
        <v>0</v>
      </c>
      <c r="D104" s="64"/>
      <c r="E104" s="64"/>
      <c r="F104" s="64"/>
      <c r="G104" s="64"/>
      <c r="H104" s="64"/>
      <c r="I104" s="1104"/>
    </row>
    <row r="105" spans="1:9" s="2" customFormat="1" ht="20.100000000000001" hidden="1" customHeight="1">
      <c r="A105" s="89" t="s">
        <v>16</v>
      </c>
      <c r="B105" s="26">
        <f>Eingabetabelle!C50</f>
        <v>0</v>
      </c>
      <c r="C105" s="1266">
        <f>B105/C5*B6</f>
        <v>0</v>
      </c>
      <c r="D105" s="64"/>
      <c r="E105" s="64"/>
      <c r="F105" s="64"/>
      <c r="G105" s="64"/>
      <c r="H105" s="64"/>
      <c r="I105" s="1104"/>
    </row>
    <row r="106" spans="1:9" s="2" customFormat="1" ht="20.100000000000001" hidden="1" customHeight="1">
      <c r="A106" s="1229">
        <f>IF(B105&gt;0,"weitere Nebenkosten",0)</f>
        <v>0</v>
      </c>
      <c r="B106" s="36"/>
      <c r="C106" s="1266">
        <f>B106/C5*B6</f>
        <v>0</v>
      </c>
      <c r="D106" s="64"/>
      <c r="E106" s="64"/>
      <c r="F106" s="64"/>
      <c r="G106" s="64"/>
      <c r="H106" s="64"/>
      <c r="I106" s="1104"/>
    </row>
    <row r="107" spans="1:9" s="2" customFormat="1" ht="20.100000000000001" hidden="1" customHeight="1">
      <c r="A107" s="1229">
        <f>IF(B105&gt;0,"./. Kostenanteil für Haushaltsstrom",0)</f>
        <v>0</v>
      </c>
      <c r="B107" s="36"/>
      <c r="C107" s="1266">
        <f>IF(B102+B105+B106+B115&gt;0,B107/C5*B6,0)</f>
        <v>0</v>
      </c>
      <c r="D107" s="571"/>
      <c r="E107" s="571"/>
      <c r="F107" s="571"/>
      <c r="G107" s="571"/>
      <c r="H107" s="571"/>
      <c r="I107" s="831"/>
    </row>
    <row r="108" spans="1:9" s="2" customFormat="1" ht="16.5" hidden="1">
      <c r="A108" s="92"/>
      <c r="B108" s="36"/>
      <c r="C108" s="47">
        <f>C107/B6</f>
        <v>0</v>
      </c>
      <c r="D108" s="382">
        <f>IF(D21&gt;0,C107/B6,0)</f>
        <v>0</v>
      </c>
      <c r="E108" s="1235">
        <f>IF(E33&gt;0,C107/B6,0)</f>
        <v>0</v>
      </c>
      <c r="F108" s="1235">
        <f>IF(F33&gt;0,C107/B6,0)</f>
        <v>0</v>
      </c>
      <c r="G108" s="1235">
        <f>IF(G33&gt;0,C107/B6,0)</f>
        <v>0</v>
      </c>
      <c r="H108" s="1235">
        <f>IF(H33&gt;0,C107/B6,0)</f>
        <v>0</v>
      </c>
      <c r="I108" s="385">
        <f>IF(I33&gt;0,C107/B6,0)</f>
        <v>0</v>
      </c>
    </row>
    <row r="109" spans="1:9" s="2" customFormat="1" ht="20.100000000000001" hidden="1" customHeight="1">
      <c r="A109" s="90" t="s">
        <v>62</v>
      </c>
      <c r="B109" s="23"/>
      <c r="C109" s="153"/>
      <c r="D109" s="1274"/>
      <c r="E109" s="1278"/>
      <c r="F109" s="1278"/>
      <c r="G109" s="1278"/>
      <c r="H109" s="1278"/>
      <c r="I109" s="1270"/>
    </row>
    <row r="110" spans="1:9" s="2" customFormat="1" ht="16.5" hidden="1">
      <c r="A110" s="92"/>
      <c r="B110" s="25"/>
      <c r="C110" s="259">
        <f>IF(C24&lt;C23,C33*7.772%,0)</f>
        <v>0</v>
      </c>
      <c r="D110" s="1275">
        <f>IF(AND(D22=17,D18=18),D25*7.75%+D26*4.6%,0)</f>
        <v>0</v>
      </c>
      <c r="E110" s="1279">
        <f>IF(E33=0,0,IF(AND(E16=0,E33&lt;224),E33*2.47%,IF(AND(E18=6,E16=5),E25*4.05%+E26*2.47%,IF(AND(E18=14,E16=13),E25*4.6%+E26*4.05%,IF(AND(E18=18,E16=17),E25*7.72%+E26*4.6%,IF(E18&gt;24,E33*7.72%,0))))))</f>
        <v>0</v>
      </c>
      <c r="F110" s="1279">
        <f>IF(F33=0,0,IF(AND(F16=0,F33&lt;224),F33*2.47%,IF(AND(F18=6,F16=5),F25*4.05%+F26*2.47%,IF(AND(F18=14,F16=13),F25*4.6%+F26*4.05%,IF(AND(F18=18,F16=17),F25*7.72%+F26*4.6%,IF(F18&gt;24,F33*7.72%,0))))))</f>
        <v>0</v>
      </c>
      <c r="G110" s="1279">
        <f>IF(G33=0,0,IF(AND(G16=0,G33&lt;224),G33*2.47%,IF(AND(G18=6,G16=5),G25*4.05%+G26*2.47%,IF(AND(G18=14,G16=13),G25*4.6%+G26*4.05%,IF(AND(G18=18,G16=17),G25*7.72%+G26*4.6%,IF(G18&gt;24,G33*7.72%,0))))))</f>
        <v>0</v>
      </c>
      <c r="H110" s="1279">
        <f>IF(H33=0,0,IF(AND(H16=0,H33&lt;224),H33*2.47%,IF(AND(H18=6,H16=5),H25*4.05%+H26*2.47%,IF(AND(H18=14,H16=13),H25*4.6%+H26*4.05%,IF(AND(H18=18,H16=17),H25*7.72%+H26*4.6%,IF(H18&gt;24,H33*7.72%,0))))))</f>
        <v>0</v>
      </c>
      <c r="I110" s="1271">
        <f>IF(I33=0,0,IF(AND(I16=0,I33&lt;224),I33*2.47%,IF(AND(I18=6,I16=5),I25*4.05%+I26*2.47%,IF(AND(I18=14,I16=13),I25*4.6%+I26*4.05%,IF(AND(I18=18,I16=17),I25*7.72%+I26*4.6%,IF(I18&gt;24,I33*7.72%,0))))))</f>
        <v>0</v>
      </c>
    </row>
    <row r="111" spans="1:9" s="2" customFormat="1" ht="16.5" hidden="1">
      <c r="A111" s="92"/>
      <c r="B111" s="25"/>
      <c r="C111" s="442">
        <f>VLOOKUP(C23,Bedarfssätze!B67:C84,2)</f>
        <v>31.01</v>
      </c>
      <c r="D111" s="1276" t="e">
        <f>VLOOKUP(D23,Bedarfssätze!B67:C84,2)</f>
        <v>#N/A</v>
      </c>
      <c r="E111" s="1280" t="e">
        <f>VLOOKUP(E23,Bedarfssätze!B67:C84,2)</f>
        <v>#N/A</v>
      </c>
      <c r="F111" s="1280" t="e">
        <f>VLOOKUP(F23,Bedarfssätze!B67:C84,2)</f>
        <v>#N/A</v>
      </c>
      <c r="G111" s="1280" t="e">
        <f>VLOOKUP(G23,Bedarfssätze!B67:C84,2)</f>
        <v>#N/A</v>
      </c>
      <c r="H111" s="1280" t="e">
        <f>VLOOKUP(H23,Bedarfssätze!B67:C84,2)</f>
        <v>#N/A</v>
      </c>
      <c r="I111" s="1272" t="e">
        <f>VLOOKUP(I23,Bedarfssätze!B67:C84,2)</f>
        <v>#N/A</v>
      </c>
    </row>
    <row r="112" spans="1:9" s="2" customFormat="1" ht="16.5" hidden="1">
      <c r="A112" s="92"/>
      <c r="B112" s="25"/>
      <c r="C112" s="259">
        <f>IF(AND(D110=0,C111&gt;C110),C111,C110)</f>
        <v>31.01</v>
      </c>
      <c r="D112" s="1275" t="e">
        <f t="shared" ref="D112:I112" si="32">IF(D110&gt;0,D110,D111)</f>
        <v>#N/A</v>
      </c>
      <c r="E112" s="1279" t="e">
        <f t="shared" si="32"/>
        <v>#N/A</v>
      </c>
      <c r="F112" s="1279" t="e">
        <f t="shared" si="32"/>
        <v>#N/A</v>
      </c>
      <c r="G112" s="1279" t="e">
        <f t="shared" si="32"/>
        <v>#N/A</v>
      </c>
      <c r="H112" s="1279" t="e">
        <f t="shared" si="32"/>
        <v>#N/A</v>
      </c>
      <c r="I112" s="1271" t="e">
        <f t="shared" si="32"/>
        <v>#N/A</v>
      </c>
    </row>
    <row r="113" spans="1:9" s="2" customFormat="1" ht="16.5" hidden="1">
      <c r="A113" s="92"/>
      <c r="B113" s="25"/>
      <c r="C113" s="24">
        <f>IF(AND(B102+B105+B106+B115&gt;0,B109="ja"),C112,0)</f>
        <v>0</v>
      </c>
      <c r="D113" s="383">
        <f>IF(AND(B102+B105+B106+B115&gt;0,D21&gt;0,B109="ja"),D112,0)</f>
        <v>0</v>
      </c>
      <c r="E113" s="1242">
        <f>IF(AND($B$102+$B$105+$B$106+$B$115&gt;0,E33&gt;0,$B$109="ja"),E112,0)</f>
        <v>0</v>
      </c>
      <c r="F113" s="1242">
        <f>IF(AND($B$102+$B$105+$B$106+$B$115&gt;0,F33&gt;0,$B$109="ja"),F112,0)</f>
        <v>0</v>
      </c>
      <c r="G113" s="1242">
        <f>IF(AND($B$102+$B$105+$B$106+$B$115&gt;0,G33&gt;0,$B$109="ja"),G112,0)</f>
        <v>0</v>
      </c>
      <c r="H113" s="1242">
        <f>IF(AND($B$102+$B$105+$B$106+$B$115&gt;0,H33&gt;0,$B$109="ja"),H112,0)</f>
        <v>0</v>
      </c>
      <c r="I113" s="1241">
        <f>IF(AND($B$102+$B$105+$B$106+$B$115&gt;0,I33&gt;0,$B$109="ja"),I112,0)</f>
        <v>0</v>
      </c>
    </row>
    <row r="114" spans="1:9" s="2" customFormat="1" ht="16.5" hidden="1">
      <c r="A114" s="92"/>
      <c r="B114" s="25"/>
      <c r="C114" s="1267">
        <f t="shared" ref="C114:I114" si="33">C108+C113</f>
        <v>0</v>
      </c>
      <c r="D114" s="1277">
        <f t="shared" si="33"/>
        <v>0</v>
      </c>
      <c r="E114" s="1281">
        <f t="shared" si="33"/>
        <v>0</v>
      </c>
      <c r="F114" s="1281">
        <f t="shared" si="33"/>
        <v>0</v>
      </c>
      <c r="G114" s="1281">
        <f t="shared" si="33"/>
        <v>0</v>
      </c>
      <c r="H114" s="1281">
        <f t="shared" si="33"/>
        <v>0</v>
      </c>
      <c r="I114" s="1273">
        <f t="shared" si="33"/>
        <v>0</v>
      </c>
    </row>
    <row r="115" spans="1:9" s="2" customFormat="1" ht="20.100000000000001" hidden="1" customHeight="1" thickBot="1">
      <c r="A115" s="94" t="s">
        <v>18</v>
      </c>
      <c r="B115" s="39">
        <f>IF(B95="JA",Eingabetabelle!C52,Eingabetabelle!C52+Eingabetabelle!C55)</f>
        <v>0</v>
      </c>
      <c r="C115" s="1268">
        <f>B115/C5*B6</f>
        <v>0</v>
      </c>
      <c r="D115" s="396"/>
      <c r="E115" s="396"/>
      <c r="F115" s="396"/>
      <c r="G115" s="396"/>
      <c r="H115" s="396"/>
      <c r="I115" s="1245"/>
    </row>
    <row r="116" spans="1:9" s="2" customFormat="1" ht="18.75" hidden="1">
      <c r="A116" s="169" t="s">
        <v>20</v>
      </c>
      <c r="B116" s="629" t="s">
        <v>30</v>
      </c>
      <c r="C116" s="1246"/>
      <c r="D116" s="888"/>
      <c r="E116" s="888"/>
      <c r="F116" s="888"/>
      <c r="G116" s="888"/>
      <c r="H116" s="888"/>
      <c r="I116" s="889"/>
    </row>
    <row r="117" spans="1:9" s="2" customFormat="1" ht="20.100000000000001" hidden="1" customHeight="1" thickBot="1">
      <c r="A117" s="94" t="s">
        <v>184</v>
      </c>
      <c r="B117" s="12"/>
      <c r="C117" s="1745">
        <f>IF(Eingabetabelle!D71="Ja",Eingabetabelle!D70+Eingabetabelle!D72,0)</f>
        <v>0</v>
      </c>
      <c r="D117" s="1745">
        <f>IF(Eingabetabelle!E71="Ja",Eingabetabelle!E70+Eingabetabelle!E72,0)</f>
        <v>0</v>
      </c>
      <c r="E117" s="1745">
        <f>IF(Eingabetabelle!F71="Ja",Eingabetabelle!F70+Eingabetabelle!F72,0)</f>
        <v>0</v>
      </c>
      <c r="F117" s="1745">
        <f>IF(Eingabetabelle!G71="Ja",Eingabetabelle!G70+Eingabetabelle!G72,0)</f>
        <v>0</v>
      </c>
      <c r="G117" s="1745">
        <f>IF(Eingabetabelle!H71="Ja",Eingabetabelle!H70+Eingabetabelle!H72,0)</f>
        <v>0</v>
      </c>
      <c r="H117" s="1745">
        <f>IF(Eingabetabelle!I71="Ja",Eingabetabelle!I70+Eingabetabelle!I72,0)</f>
        <v>0</v>
      </c>
      <c r="I117" s="1745">
        <f>IF(Eingabetabelle!J71="Ja",Eingabetabelle!J70+Eingabetabelle!J72,0)</f>
        <v>0</v>
      </c>
    </row>
    <row r="118" spans="1:9" s="2" customFormat="1" ht="17.25" hidden="1" thickBot="1">
      <c r="C118" s="14"/>
      <c r="D118" s="14"/>
      <c r="E118" s="14"/>
      <c r="F118" s="14"/>
      <c r="G118" s="14"/>
      <c r="H118" s="14"/>
    </row>
    <row r="119" spans="1:9" s="2" customFormat="1" ht="20.25" hidden="1">
      <c r="A119" s="2097" t="s">
        <v>22</v>
      </c>
      <c r="B119" s="2098"/>
      <c r="C119" s="2098"/>
      <c r="D119" s="2098"/>
      <c r="E119" s="2098"/>
      <c r="F119" s="2098"/>
      <c r="G119" s="2098"/>
      <c r="H119" s="2098"/>
      <c r="I119" s="2099"/>
    </row>
    <row r="120" spans="1:9" s="2" customFormat="1" ht="21.95" hidden="1" customHeight="1" thickBot="1">
      <c r="A120" s="104" t="s">
        <v>65</v>
      </c>
      <c r="B120" s="352" t="s">
        <v>30</v>
      </c>
      <c r="C120" s="352" t="str">
        <f>C4</f>
        <v>Antragsteller</v>
      </c>
      <c r="D120" s="352" t="str">
        <f>D4</f>
        <v>Partner(in)</v>
      </c>
      <c r="E120" s="352" t="str">
        <f>E4</f>
        <v>Kind 1</v>
      </c>
      <c r="F120" s="352" t="s">
        <v>8</v>
      </c>
      <c r="G120" s="352" t="s">
        <v>9</v>
      </c>
      <c r="H120" s="352" t="s">
        <v>10</v>
      </c>
      <c r="I120" s="353" t="s">
        <v>34</v>
      </c>
    </row>
    <row r="121" spans="1:9" s="5" customFormat="1" ht="20.100000000000001" hidden="1" customHeight="1">
      <c r="A121" s="264" t="s">
        <v>82</v>
      </c>
      <c r="B121" s="1285"/>
      <c r="C121" s="1286"/>
      <c r="D121" s="1286"/>
      <c r="E121" s="1286"/>
      <c r="F121" s="1286"/>
      <c r="G121" s="1286"/>
      <c r="H121" s="1286"/>
      <c r="I121" s="1287"/>
    </row>
    <row r="122" spans="1:9" s="2" customFormat="1" ht="20.100000000000001" hidden="1" customHeight="1">
      <c r="A122" s="1751" t="s">
        <v>2367</v>
      </c>
      <c r="B122" s="41"/>
      <c r="C122" s="1204">
        <f>Eingabetabelle!D75</f>
        <v>21</v>
      </c>
      <c r="D122" s="1204">
        <f>Eingabetabelle!E75</f>
        <v>21</v>
      </c>
      <c r="E122" s="1204">
        <f>Eingabetabelle!F75</f>
        <v>21</v>
      </c>
      <c r="F122" s="1204">
        <f>Eingabetabelle!G75</f>
        <v>21</v>
      </c>
      <c r="G122" s="1204">
        <f>Eingabetabelle!H75</f>
        <v>21</v>
      </c>
      <c r="H122" s="1204">
        <f>Eingabetabelle!I75</f>
        <v>21</v>
      </c>
      <c r="I122" s="1204">
        <f>Eingabetabelle!J75</f>
        <v>21</v>
      </c>
    </row>
    <row r="123" spans="1:9" s="2" customFormat="1" ht="20.100000000000001" hidden="1" customHeight="1">
      <c r="A123" s="1752" t="s">
        <v>76</v>
      </c>
      <c r="B123" s="22"/>
      <c r="C123" s="1206">
        <f>Eingabetabelle!D76</f>
        <v>0</v>
      </c>
      <c r="D123" s="1206">
        <f>Eingabetabelle!E76</f>
        <v>0</v>
      </c>
      <c r="E123" s="1206">
        <f>Eingabetabelle!F76</f>
        <v>0</v>
      </c>
      <c r="F123" s="1206">
        <f>Eingabetabelle!G76</f>
        <v>0</v>
      </c>
      <c r="G123" s="1206">
        <f>Eingabetabelle!H76</f>
        <v>0</v>
      </c>
      <c r="H123" s="1206">
        <f>Eingabetabelle!I76</f>
        <v>0</v>
      </c>
      <c r="I123" s="1206">
        <f>Eingabetabelle!J76</f>
        <v>0</v>
      </c>
    </row>
    <row r="124" spans="1:9" s="5" customFormat="1" ht="20.100000000000001" hidden="1" customHeight="1">
      <c r="A124" s="1753" t="s">
        <v>93</v>
      </c>
      <c r="B124" s="22"/>
      <c r="C124" s="140">
        <f>C123*6</f>
        <v>0</v>
      </c>
      <c r="D124" s="140">
        <f t="shared" ref="D124:I124" si="34">D123*6</f>
        <v>0</v>
      </c>
      <c r="E124" s="140">
        <f t="shared" si="34"/>
        <v>0</v>
      </c>
      <c r="F124" s="140">
        <f t="shared" si="34"/>
        <v>0</v>
      </c>
      <c r="G124" s="140">
        <f t="shared" si="34"/>
        <v>0</v>
      </c>
      <c r="H124" s="140">
        <f t="shared" si="34"/>
        <v>0</v>
      </c>
      <c r="I124" s="189">
        <f t="shared" si="34"/>
        <v>0</v>
      </c>
    </row>
    <row r="125" spans="1:9" s="2" customFormat="1" ht="20.100000000000001" hidden="1" customHeight="1" thickBot="1">
      <c r="A125" s="1754" t="s">
        <v>2316</v>
      </c>
      <c r="B125" s="12"/>
      <c r="C125" s="1207">
        <f>Eingabetabelle!D77</f>
        <v>0</v>
      </c>
      <c r="D125" s="1207">
        <f>Eingabetabelle!E77</f>
        <v>0</v>
      </c>
      <c r="E125" s="1207">
        <f>Eingabetabelle!F77</f>
        <v>0</v>
      </c>
      <c r="F125" s="1207">
        <f>Eingabetabelle!G77</f>
        <v>0</v>
      </c>
      <c r="G125" s="1207">
        <f>Eingabetabelle!H77</f>
        <v>0</v>
      </c>
      <c r="H125" s="1207">
        <f>Eingabetabelle!I77</f>
        <v>0</v>
      </c>
      <c r="I125" s="1207">
        <f>Eingabetabelle!J77</f>
        <v>0</v>
      </c>
    </row>
    <row r="126" spans="1:9" s="5" customFormat="1" ht="20.100000000000001" hidden="1" customHeight="1">
      <c r="A126" s="636" t="s">
        <v>31</v>
      </c>
      <c r="B126" s="40"/>
      <c r="C126" s="128">
        <f t="shared" ref="C126:I126" si="35">C122*C125*0.2</f>
        <v>0</v>
      </c>
      <c r="D126" s="128">
        <f t="shared" si="35"/>
        <v>0</v>
      </c>
      <c r="E126" s="128">
        <f t="shared" si="35"/>
        <v>0</v>
      </c>
      <c r="F126" s="128">
        <f t="shared" si="35"/>
        <v>0</v>
      </c>
      <c r="G126" s="128">
        <f t="shared" si="35"/>
        <v>0</v>
      </c>
      <c r="H126" s="128">
        <f t="shared" si="35"/>
        <v>0</v>
      </c>
      <c r="I126" s="190">
        <f t="shared" si="35"/>
        <v>0</v>
      </c>
    </row>
    <row r="127" spans="1:9" s="2" customFormat="1" ht="20.100000000000001" hidden="1" customHeight="1" thickBot="1">
      <c r="A127" s="111"/>
      <c r="B127" s="3"/>
      <c r="C127" s="198">
        <f t="shared" ref="C127:I127" si="36">MAX(C126,C142)</f>
        <v>0</v>
      </c>
      <c r="D127" s="198">
        <f t="shared" si="36"/>
        <v>0</v>
      </c>
      <c r="E127" s="198">
        <f t="shared" si="36"/>
        <v>0</v>
      </c>
      <c r="F127" s="198">
        <f t="shared" si="36"/>
        <v>0</v>
      </c>
      <c r="G127" s="198">
        <f t="shared" si="36"/>
        <v>0</v>
      </c>
      <c r="H127" s="198">
        <f t="shared" si="36"/>
        <v>0</v>
      </c>
      <c r="I127" s="199">
        <f t="shared" si="36"/>
        <v>0</v>
      </c>
    </row>
    <row r="128" spans="1:9" s="2" customFormat="1" ht="20.100000000000001" hidden="1" customHeight="1">
      <c r="A128" s="118" t="s">
        <v>2263</v>
      </c>
      <c r="B128" s="1203">
        <f>SUM(C128:I128)</f>
        <v>0</v>
      </c>
      <c r="C128" s="1508">
        <f>Eingabetabelle!D63</f>
        <v>0</v>
      </c>
      <c r="D128" s="1508">
        <f>Eingabetabelle!E63</f>
        <v>0</v>
      </c>
      <c r="E128" s="1508">
        <f>Eingabetabelle!F63</f>
        <v>0</v>
      </c>
      <c r="F128" s="1508">
        <f>Eingabetabelle!G63</f>
        <v>0</v>
      </c>
      <c r="G128" s="1508">
        <f>Eingabetabelle!H63</f>
        <v>0</v>
      </c>
      <c r="H128" s="1508">
        <f>Eingabetabelle!I63</f>
        <v>0</v>
      </c>
      <c r="I128" s="1508">
        <f>Eingabetabelle!J63</f>
        <v>0</v>
      </c>
    </row>
    <row r="129" spans="1:9" s="2" customFormat="1" ht="15" hidden="1" customHeight="1">
      <c r="A129" s="1230">
        <f>IF(B128&gt;0,"vom Arbeitgeber bereitgestellte Verpflegung",0)</f>
        <v>0</v>
      </c>
      <c r="B129" s="22"/>
      <c r="C129" s="1208"/>
      <c r="D129" s="1208"/>
      <c r="E129" s="1208"/>
      <c r="F129" s="1208"/>
      <c r="G129" s="1208"/>
      <c r="H129" s="1208"/>
      <c r="I129" s="1209"/>
    </row>
    <row r="130" spans="1:9" s="2" customFormat="1" ht="15" hidden="1" customHeight="1">
      <c r="A130" s="1228">
        <f>IF(B130&gt;0,"Wert Verpflegung",0)</f>
        <v>0</v>
      </c>
      <c r="B130" s="933">
        <f>SUM(C130:I130)</f>
        <v>0</v>
      </c>
      <c r="C130" s="969">
        <f t="shared" ref="C130:I130" si="37">IF(C129="vollverpflegung",C33*C122*1%,IF(C129="frühstück",C33*C122*0.2%,IF(C129="mittagessen",C33*C122*0.4%,IF(C129="abendessen",C33*C122*0.4%,0))))</f>
        <v>0</v>
      </c>
      <c r="D130" s="969">
        <f t="shared" si="37"/>
        <v>0</v>
      </c>
      <c r="E130" s="969">
        <f t="shared" si="37"/>
        <v>0</v>
      </c>
      <c r="F130" s="969">
        <f t="shared" si="37"/>
        <v>0</v>
      </c>
      <c r="G130" s="969">
        <f t="shared" si="37"/>
        <v>0</v>
      </c>
      <c r="H130" s="969">
        <f t="shared" si="37"/>
        <v>0</v>
      </c>
      <c r="I130" s="970">
        <f t="shared" si="37"/>
        <v>0</v>
      </c>
    </row>
    <row r="131" spans="1:9" s="2" customFormat="1" ht="16.5" hidden="1">
      <c r="A131" s="125" t="s">
        <v>87</v>
      </c>
      <c r="B131" s="62"/>
      <c r="C131" s="62">
        <f>C128+C130</f>
        <v>0</v>
      </c>
      <c r="D131" s="62">
        <f t="shared" ref="D131:I131" si="38">D128+D130</f>
        <v>0</v>
      </c>
      <c r="E131" s="62">
        <f t="shared" si="38"/>
        <v>0</v>
      </c>
      <c r="F131" s="62">
        <f t="shared" si="38"/>
        <v>0</v>
      </c>
      <c r="G131" s="62">
        <f t="shared" si="38"/>
        <v>0</v>
      </c>
      <c r="H131" s="62">
        <f t="shared" si="38"/>
        <v>0</v>
      </c>
      <c r="I131" s="110">
        <f t="shared" si="38"/>
        <v>0</v>
      </c>
    </row>
    <row r="132" spans="1:9" s="2" customFormat="1" ht="20.100000000000001" hidden="1" customHeight="1">
      <c r="A132" s="1294">
        <f>IF(B128&gt;0,"Nettolohn",0)</f>
        <v>0</v>
      </c>
      <c r="B132" s="22"/>
      <c r="C132" s="36">
        <f>Eingabetabelle!D64</f>
        <v>0</v>
      </c>
      <c r="D132" s="36">
        <f>Eingabetabelle!E64</f>
        <v>0</v>
      </c>
      <c r="E132" s="36">
        <f>Eingabetabelle!F64</f>
        <v>0</v>
      </c>
      <c r="F132" s="36">
        <f>Eingabetabelle!G64</f>
        <v>0</v>
      </c>
      <c r="G132" s="36">
        <f>Eingabetabelle!H64</f>
        <v>0</v>
      </c>
      <c r="H132" s="36">
        <f>Eingabetabelle!I64</f>
        <v>0</v>
      </c>
      <c r="I132" s="36">
        <f>Eingabetabelle!J64</f>
        <v>0</v>
      </c>
    </row>
    <row r="133" spans="1:9" s="2" customFormat="1" ht="16.5" hidden="1" customHeight="1">
      <c r="A133" s="126" t="s">
        <v>89</v>
      </c>
      <c r="B133" s="55"/>
      <c r="C133" s="57">
        <f>C130+C132</f>
        <v>0</v>
      </c>
      <c r="D133" s="57">
        <f t="shared" ref="D133:I133" si="39">D130+D132</f>
        <v>0</v>
      </c>
      <c r="E133" s="57">
        <f t="shared" si="39"/>
        <v>0</v>
      </c>
      <c r="F133" s="57">
        <f t="shared" si="39"/>
        <v>0</v>
      </c>
      <c r="G133" s="57">
        <f t="shared" si="39"/>
        <v>0</v>
      </c>
      <c r="H133" s="57">
        <f t="shared" si="39"/>
        <v>0</v>
      </c>
      <c r="I133" s="114">
        <f t="shared" si="39"/>
        <v>0</v>
      </c>
    </row>
    <row r="134" spans="1:9" s="2" customFormat="1" ht="16.5" hidden="1" customHeight="1">
      <c r="A134" s="105" t="s">
        <v>106</v>
      </c>
      <c r="B134" s="22"/>
      <c r="C134" s="26"/>
      <c r="D134" s="26"/>
      <c r="E134" s="26"/>
      <c r="F134" s="26"/>
      <c r="G134" s="26"/>
      <c r="H134" s="26"/>
      <c r="I134" s="46"/>
    </row>
    <row r="135" spans="1:9" s="2" customFormat="1" ht="17.25" hidden="1" customHeight="1" thickBot="1">
      <c r="A135" s="120" t="s">
        <v>107</v>
      </c>
      <c r="B135" s="266"/>
      <c r="C135" s="39"/>
      <c r="D135" s="39"/>
      <c r="E135" s="39"/>
      <c r="F135" s="39"/>
      <c r="G135" s="39"/>
      <c r="H135" s="39"/>
      <c r="I135" s="96"/>
    </row>
    <row r="136" spans="1:9" s="2" customFormat="1" ht="20.100000000000001" hidden="1" customHeight="1">
      <c r="A136" s="1225" t="s">
        <v>69</v>
      </c>
      <c r="B136" s="966">
        <f>SUM(C136:I136)</f>
        <v>0</v>
      </c>
      <c r="C136" s="58"/>
      <c r="D136" s="58"/>
      <c r="E136" s="58"/>
      <c r="F136" s="58"/>
      <c r="G136" s="58"/>
      <c r="H136" s="58"/>
      <c r="I136" s="639"/>
    </row>
    <row r="137" spans="1:9" s="2" customFormat="1" ht="20.100000000000001" hidden="1" customHeight="1" thickBot="1">
      <c r="A137" s="826">
        <f>IF(B136&gt;0,"Ausbildungsvergütung (netto)",0)</f>
        <v>0</v>
      </c>
      <c r="B137" s="12"/>
      <c r="C137" s="1222">
        <f t="shared" ref="C137:I137" si="40">C136</f>
        <v>0</v>
      </c>
      <c r="D137" s="1222">
        <f t="shared" si="40"/>
        <v>0</v>
      </c>
      <c r="E137" s="1222">
        <f t="shared" si="40"/>
        <v>0</v>
      </c>
      <c r="F137" s="1222">
        <f t="shared" si="40"/>
        <v>0</v>
      </c>
      <c r="G137" s="1222">
        <f t="shared" si="40"/>
        <v>0</v>
      </c>
      <c r="H137" s="1222">
        <f t="shared" si="40"/>
        <v>0</v>
      </c>
      <c r="I137" s="1226">
        <f t="shared" si="40"/>
        <v>0</v>
      </c>
    </row>
    <row r="138" spans="1:9" s="2" customFormat="1" ht="20.100000000000001" hidden="1" customHeight="1">
      <c r="A138" s="1224" t="s">
        <v>126</v>
      </c>
      <c r="B138" s="49"/>
      <c r="C138" s="1508">
        <f>Eingabetabelle!D89</f>
        <v>0</v>
      </c>
      <c r="D138" s="1508">
        <f>Eingabetabelle!E89</f>
        <v>0</v>
      </c>
      <c r="E138" s="1508">
        <f>Eingabetabelle!F89</f>
        <v>0</v>
      </c>
      <c r="F138" s="1508">
        <f>Eingabetabelle!G89</f>
        <v>0</v>
      </c>
      <c r="G138" s="1508">
        <f>Eingabetabelle!H89</f>
        <v>0</v>
      </c>
      <c r="H138" s="1508">
        <f>Eingabetabelle!I89</f>
        <v>0</v>
      </c>
      <c r="I138" s="1508">
        <f>Eingabetabelle!J89</f>
        <v>0</v>
      </c>
    </row>
    <row r="139" spans="1:9" s="2" customFormat="1" ht="20.100000000000001" hidden="1" customHeight="1">
      <c r="A139" s="90" t="s">
        <v>187</v>
      </c>
      <c r="B139" s="22">
        <f>SUM(C139:E139)</f>
        <v>0</v>
      </c>
      <c r="C139" s="36">
        <f>Eingabetabelle!D65</f>
        <v>0</v>
      </c>
      <c r="D139" s="36">
        <f>Eingabetabelle!E65</f>
        <v>0</v>
      </c>
      <c r="E139" s="36">
        <f>Eingabetabelle!F65</f>
        <v>0</v>
      </c>
      <c r="F139" s="36">
        <f>Eingabetabelle!G65</f>
        <v>0</v>
      </c>
      <c r="G139" s="36">
        <f>Eingabetabelle!H65</f>
        <v>0</v>
      </c>
      <c r="H139" s="36">
        <f>Eingabetabelle!I65</f>
        <v>0</v>
      </c>
      <c r="I139" s="278"/>
    </row>
    <row r="140" spans="1:9" s="5" customFormat="1" ht="20.100000000000001" hidden="1" customHeight="1">
      <c r="A140" s="92" t="s">
        <v>101</v>
      </c>
      <c r="B140" s="22"/>
      <c r="C140" s="58">
        <f>C131+C136+C139</f>
        <v>0</v>
      </c>
      <c r="D140" s="58">
        <f t="shared" ref="D140:I140" si="41">D131+D136+D139</f>
        <v>0</v>
      </c>
      <c r="E140" s="58">
        <f t="shared" si="41"/>
        <v>0</v>
      </c>
      <c r="F140" s="58">
        <f t="shared" si="41"/>
        <v>0</v>
      </c>
      <c r="G140" s="58">
        <f t="shared" si="41"/>
        <v>0</v>
      </c>
      <c r="H140" s="58">
        <f t="shared" si="41"/>
        <v>0</v>
      </c>
      <c r="I140" s="639">
        <f t="shared" si="41"/>
        <v>0</v>
      </c>
    </row>
    <row r="141" spans="1:9" s="2" customFormat="1" ht="20.100000000000001" hidden="1" customHeight="1">
      <c r="A141" s="92" t="s">
        <v>100</v>
      </c>
      <c r="B141" s="22"/>
      <c r="C141" s="128">
        <f>C133+C137+C138+C139</f>
        <v>0</v>
      </c>
      <c r="D141" s="128">
        <f t="shared" ref="D141:I141" si="42">D133+D137+D138+D139</f>
        <v>0</v>
      </c>
      <c r="E141" s="128">
        <f t="shared" si="42"/>
        <v>0</v>
      </c>
      <c r="F141" s="128">
        <f t="shared" si="42"/>
        <v>0</v>
      </c>
      <c r="G141" s="128">
        <f t="shared" si="42"/>
        <v>0</v>
      </c>
      <c r="H141" s="128">
        <f t="shared" si="42"/>
        <v>0</v>
      </c>
      <c r="I141" s="190">
        <f t="shared" si="42"/>
        <v>0</v>
      </c>
    </row>
    <row r="142" spans="1:9" s="2" customFormat="1" ht="20.100000000000001" hidden="1" customHeight="1">
      <c r="A142" s="97">
        <f>IF(OR($B$136&gt;0,$C$128&gt;400,$D$128&gt;400,$E$128&gt;400,$F$128&gt;400,$G$128&gt;400,$H$128&gt;400,$I$128&gt;400),"tatsächliche Fahrtkosten/ Fahrkarte ÖPNV",0)</f>
        <v>0</v>
      </c>
      <c r="B142" s="22"/>
      <c r="C142" s="548"/>
      <c r="D142" s="548"/>
      <c r="E142" s="548"/>
      <c r="F142" s="548"/>
      <c r="G142" s="548"/>
      <c r="H142" s="548"/>
      <c r="I142" s="1227"/>
    </row>
    <row r="143" spans="1:9" s="2" customFormat="1" ht="20.100000000000001" hidden="1" customHeight="1" thickBot="1">
      <c r="A143" s="826">
        <f>IF(OR($B$136&gt;0,$B$139&gt;400,$C$128&gt;400,$D$128&gt;400,$E$128&gt;400,$F$128&gt;400,$G$128&gt;400,$H$128&gt;400,$I$128&gt;400),"sonstige Werbungskosten eLB, z.B. Arbeitsmittel",0)</f>
        <v>0</v>
      </c>
      <c r="B143" s="12">
        <f>SUM(C143:E143)</f>
        <v>0</v>
      </c>
      <c r="C143" s="1222">
        <f>SUM(Eingabetabelle!D80,Eingabetabelle!D82,Eingabetabelle!D83,Eingabetabelle!D79)</f>
        <v>0</v>
      </c>
      <c r="D143" s="1222">
        <f>SUM(Eingabetabelle!E80,Eingabetabelle!E82,Eingabetabelle!E83,Eingabetabelle!E79)</f>
        <v>0</v>
      </c>
      <c r="E143" s="1222">
        <f>SUM(Eingabetabelle!F80,Eingabetabelle!F82,Eingabetabelle!F83,Eingabetabelle!F79)</f>
        <v>0</v>
      </c>
      <c r="F143" s="1222">
        <f>SUM(Eingabetabelle!G80,Eingabetabelle!G82,Eingabetabelle!G83,Eingabetabelle!G79)</f>
        <v>0</v>
      </c>
      <c r="G143" s="1222">
        <f>SUM(Eingabetabelle!H80,Eingabetabelle!H82,Eingabetabelle!H83,Eingabetabelle!H79)</f>
        <v>0</v>
      </c>
      <c r="H143" s="1222">
        <f>SUM(Eingabetabelle!I80,Eingabetabelle!I82,Eingabetabelle!I83,Eingabetabelle!I79)</f>
        <v>0</v>
      </c>
      <c r="I143" s="1222">
        <f>SUM(Eingabetabelle!J80,Eingabetabelle!J82,Eingabetabelle!J83,Eingabetabelle!J79)</f>
        <v>0</v>
      </c>
    </row>
    <row r="144" spans="1:9" s="2" customFormat="1" ht="33" hidden="1" customHeight="1" thickBot="1">
      <c r="A144" s="1895" t="str">
        <f>IF(AND(B139&gt;0,B143&gt;0),"Sind vorstehende Werbungskosten als Betriebsausgaben in der EKS enthalten?","")</f>
        <v/>
      </c>
      <c r="B144" s="1896" t="str">
        <f>IF(AND(B139&gt;0,B143&gt;0),"→→→","")</f>
        <v/>
      </c>
      <c r="C144" s="1897">
        <f>Eingabetabelle!D84</f>
        <v>0</v>
      </c>
      <c r="D144" s="1897">
        <f>Eingabetabelle!E84</f>
        <v>0</v>
      </c>
      <c r="E144" s="1897">
        <f>Eingabetabelle!F84</f>
        <v>0</v>
      </c>
      <c r="F144" s="659"/>
      <c r="G144" s="659"/>
      <c r="H144" s="659"/>
      <c r="I144" s="659"/>
    </row>
    <row r="145" spans="1:12" s="2" customFormat="1" ht="20.100000000000001" hidden="1" customHeight="1">
      <c r="A145" s="620" t="s">
        <v>201</v>
      </c>
      <c r="B145" s="621"/>
      <c r="C145" s="622">
        <f>IF(AND((C131+C138+C139)&gt;400,C144="Nein"),C143,IF(AND(C139&gt;400,C144=""),0,IF(C131+C138&gt;400,C143,0)))</f>
        <v>0</v>
      </c>
      <c r="D145" s="622">
        <f t="shared" ref="D145:I145" si="43">IF(D131&gt;400,D143,0)</f>
        <v>0</v>
      </c>
      <c r="E145" s="622">
        <f t="shared" si="43"/>
        <v>0</v>
      </c>
      <c r="F145" s="622">
        <f t="shared" si="43"/>
        <v>0</v>
      </c>
      <c r="G145" s="622">
        <f t="shared" si="43"/>
        <v>0</v>
      </c>
      <c r="H145" s="622">
        <f t="shared" si="43"/>
        <v>0</v>
      </c>
      <c r="I145" s="953">
        <f t="shared" si="43"/>
        <v>0</v>
      </c>
    </row>
    <row r="146" spans="1:12" s="2" customFormat="1" ht="20.100000000000001" hidden="1" customHeight="1">
      <c r="A146" s="193"/>
      <c r="B146" s="130"/>
      <c r="C146" s="64">
        <f t="shared" ref="C146:I146" si="44">IF(C138&gt;200,C143,0)</f>
        <v>0</v>
      </c>
      <c r="D146" s="64">
        <f t="shared" si="44"/>
        <v>0</v>
      </c>
      <c r="E146" s="64">
        <f t="shared" si="44"/>
        <v>0</v>
      </c>
      <c r="F146" s="64">
        <f t="shared" si="44"/>
        <v>0</v>
      </c>
      <c r="G146" s="64">
        <f t="shared" si="44"/>
        <v>0</v>
      </c>
      <c r="H146" s="64">
        <f t="shared" si="44"/>
        <v>0</v>
      </c>
      <c r="I146" s="1104">
        <f t="shared" si="44"/>
        <v>0</v>
      </c>
    </row>
    <row r="147" spans="1:12" s="2" customFormat="1" ht="20.100000000000001" hidden="1" customHeight="1">
      <c r="A147" s="111"/>
      <c r="B147" s="130"/>
      <c r="C147" s="64">
        <f t="shared" ref="C147:I147" si="45">IF(C136&gt;100,C143,0)</f>
        <v>0</v>
      </c>
      <c r="D147" s="64">
        <f t="shared" si="45"/>
        <v>0</v>
      </c>
      <c r="E147" s="64">
        <f t="shared" si="45"/>
        <v>0</v>
      </c>
      <c r="F147" s="64">
        <f t="shared" si="45"/>
        <v>0</v>
      </c>
      <c r="G147" s="64">
        <f t="shared" si="45"/>
        <v>0</v>
      </c>
      <c r="H147" s="64">
        <f t="shared" si="45"/>
        <v>0</v>
      </c>
      <c r="I147" s="1104">
        <f t="shared" si="45"/>
        <v>0</v>
      </c>
    </row>
    <row r="148" spans="1:12" s="2" customFormat="1" ht="20.100000000000001" hidden="1" customHeight="1">
      <c r="A148" s="193"/>
      <c r="B148" s="130"/>
      <c r="C148" s="130">
        <f>IF(C145&gt;0,C145,IF(C146&gt;0,C146,IF(C147&gt;0,C147,0)))</f>
        <v>0</v>
      </c>
      <c r="D148" s="130">
        <f t="shared" ref="D148:I148" si="46">IF(D145&gt;0,D145,IF(D146&gt;0,D146,IF(D147&gt;0,D147,0)))</f>
        <v>0</v>
      </c>
      <c r="E148" s="130">
        <f t="shared" si="46"/>
        <v>0</v>
      </c>
      <c r="F148" s="130">
        <f t="shared" si="46"/>
        <v>0</v>
      </c>
      <c r="G148" s="130">
        <f t="shared" si="46"/>
        <v>0</v>
      </c>
      <c r="H148" s="130">
        <f t="shared" si="46"/>
        <v>0</v>
      </c>
      <c r="I148" s="194">
        <f t="shared" si="46"/>
        <v>0</v>
      </c>
    </row>
    <row r="149" spans="1:12" s="2" customFormat="1" ht="20.100000000000001" hidden="1" customHeight="1">
      <c r="A149" s="193"/>
      <c r="B149" s="130"/>
      <c r="C149" s="131">
        <f>IF(C161=0,0,C148)</f>
        <v>0</v>
      </c>
      <c r="D149" s="131">
        <f t="shared" ref="D149:I149" si="47">IF(D161=0,0,D148)</f>
        <v>0</v>
      </c>
      <c r="E149" s="131">
        <f t="shared" si="47"/>
        <v>0</v>
      </c>
      <c r="F149" s="131">
        <f t="shared" si="47"/>
        <v>0</v>
      </c>
      <c r="G149" s="131">
        <f t="shared" si="47"/>
        <v>0</v>
      </c>
      <c r="H149" s="131">
        <f t="shared" si="47"/>
        <v>0</v>
      </c>
      <c r="I149" s="1216">
        <f t="shared" si="47"/>
        <v>0</v>
      </c>
    </row>
    <row r="150" spans="1:12" s="2" customFormat="1" ht="20.100000000000001" hidden="1" customHeight="1">
      <c r="A150" s="111"/>
      <c r="B150" s="130"/>
      <c r="C150" s="130"/>
      <c r="D150" s="130"/>
      <c r="E150" s="130"/>
      <c r="F150" s="130"/>
      <c r="G150" s="130"/>
      <c r="H150" s="130"/>
      <c r="I150" s="194"/>
    </row>
    <row r="151" spans="1:12" s="5" customFormat="1" ht="20.100000000000001" hidden="1" customHeight="1">
      <c r="A151" s="202" t="s">
        <v>98</v>
      </c>
      <c r="B151" s="130"/>
      <c r="C151" s="618">
        <f>IF(C197&gt;0,0,IF(C34="nein",0,IF(C131+C139&gt;100,100,C131+C139)))</f>
        <v>0</v>
      </c>
      <c r="D151" s="618">
        <f>IF(D197&gt;0,0,IF(D34="nein",0,IF(D131+D139&gt;100,100,D131+D139)))</f>
        <v>0</v>
      </c>
      <c r="E151" s="618">
        <f>IF(AND(E18&gt;14,E34="nein"),0,IF(E131+E139&gt;100,100,E131+E139))</f>
        <v>0</v>
      </c>
      <c r="F151" s="618">
        <f>IF(AND(F18&gt;14,F34="nein"),0,IF(F131+F139&gt;100,100,F131+F139))</f>
        <v>0</v>
      </c>
      <c r="G151" s="618">
        <f>IF(AND(G18&gt;14,G34="nein"),0,IF(G131+G139&gt;100,100,G131+G139))</f>
        <v>0</v>
      </c>
      <c r="H151" s="618">
        <f>IF(AND(H18&gt;14,H34="nein"),0,IF(H131+H139&gt;100,100,H131+H139))</f>
        <v>0</v>
      </c>
      <c r="I151" s="1217">
        <f>IF(AND(I18&gt;14,I34="nein"),0,IF(I131+I139&gt;100,100,I131+I139))</f>
        <v>0</v>
      </c>
    </row>
    <row r="152" spans="1:12" s="2" customFormat="1" ht="20.100000000000001" hidden="1" customHeight="1">
      <c r="A152" s="111"/>
      <c r="B152" s="130"/>
      <c r="C152" s="198">
        <f t="shared" ref="C152:I152" si="48">IF(AND(C131+C139&gt;400,C151=100),C216,C151)</f>
        <v>0</v>
      </c>
      <c r="D152" s="198">
        <f t="shared" si="48"/>
        <v>0</v>
      </c>
      <c r="E152" s="198">
        <f t="shared" si="48"/>
        <v>0</v>
      </c>
      <c r="F152" s="198">
        <f t="shared" si="48"/>
        <v>0</v>
      </c>
      <c r="G152" s="198">
        <f t="shared" si="48"/>
        <v>0</v>
      </c>
      <c r="H152" s="198">
        <f t="shared" si="48"/>
        <v>0</v>
      </c>
      <c r="I152" s="199">
        <f t="shared" si="48"/>
        <v>0</v>
      </c>
    </row>
    <row r="153" spans="1:12" s="2" customFormat="1" ht="20.100000000000001" hidden="1" customHeight="1">
      <c r="A153" s="111"/>
      <c r="B153" s="130"/>
      <c r="C153" s="200">
        <f t="shared" ref="C153:I153" si="49">IF(C152&gt;C131+C139,C131+C139,C152)</f>
        <v>0</v>
      </c>
      <c r="D153" s="200">
        <f t="shared" si="49"/>
        <v>0</v>
      </c>
      <c r="E153" s="200">
        <f t="shared" si="49"/>
        <v>0</v>
      </c>
      <c r="F153" s="200">
        <f t="shared" si="49"/>
        <v>0</v>
      </c>
      <c r="G153" s="200">
        <f t="shared" si="49"/>
        <v>0</v>
      </c>
      <c r="H153" s="200">
        <f t="shared" si="49"/>
        <v>0</v>
      </c>
      <c r="I153" s="201">
        <f t="shared" si="49"/>
        <v>0</v>
      </c>
    </row>
    <row r="154" spans="1:12" s="2" customFormat="1" ht="20.100000000000001" hidden="1" customHeight="1">
      <c r="A154" s="195" t="s">
        <v>94</v>
      </c>
      <c r="B154" s="130"/>
      <c r="C154" s="196">
        <f t="shared" ref="C154:I154" si="50">IF(C136&gt;100,100,C136)</f>
        <v>0</v>
      </c>
      <c r="D154" s="196">
        <f t="shared" si="50"/>
        <v>0</v>
      </c>
      <c r="E154" s="196">
        <f t="shared" si="50"/>
        <v>0</v>
      </c>
      <c r="F154" s="196">
        <f t="shared" si="50"/>
        <v>0</v>
      </c>
      <c r="G154" s="196">
        <f t="shared" si="50"/>
        <v>0</v>
      </c>
      <c r="H154" s="196">
        <f t="shared" si="50"/>
        <v>0</v>
      </c>
      <c r="I154" s="197">
        <f t="shared" si="50"/>
        <v>0</v>
      </c>
      <c r="L154" s="616"/>
    </row>
    <row r="155" spans="1:12" s="2" customFormat="1" ht="20.100000000000001" hidden="1" customHeight="1">
      <c r="A155" s="195"/>
      <c r="B155" s="130"/>
      <c r="C155" s="198">
        <f t="shared" ref="C155:I155" si="51">IF(C136&gt;100,C216,C154)</f>
        <v>0</v>
      </c>
      <c r="D155" s="198">
        <f t="shared" si="51"/>
        <v>0</v>
      </c>
      <c r="E155" s="198">
        <f t="shared" si="51"/>
        <v>0</v>
      </c>
      <c r="F155" s="198">
        <f t="shared" si="51"/>
        <v>0</v>
      </c>
      <c r="G155" s="198">
        <f t="shared" si="51"/>
        <v>0</v>
      </c>
      <c r="H155" s="198">
        <f t="shared" si="51"/>
        <v>0</v>
      </c>
      <c r="I155" s="199">
        <f t="shared" si="51"/>
        <v>0</v>
      </c>
      <c r="L155" s="616"/>
    </row>
    <row r="156" spans="1:12" s="2" customFormat="1" ht="20.100000000000001" hidden="1" customHeight="1">
      <c r="A156" s="195"/>
      <c r="B156" s="130"/>
      <c r="C156" s="200">
        <f t="shared" ref="C156:I156" si="52">IF(C155&gt;C136,C136,C155)</f>
        <v>0</v>
      </c>
      <c r="D156" s="200">
        <f t="shared" si="52"/>
        <v>0</v>
      </c>
      <c r="E156" s="200">
        <f t="shared" si="52"/>
        <v>0</v>
      </c>
      <c r="F156" s="200">
        <f t="shared" si="52"/>
        <v>0</v>
      </c>
      <c r="G156" s="200">
        <f t="shared" si="52"/>
        <v>0</v>
      </c>
      <c r="H156" s="200">
        <f t="shared" si="52"/>
        <v>0</v>
      </c>
      <c r="I156" s="201">
        <f t="shared" si="52"/>
        <v>0</v>
      </c>
      <c r="L156" s="616"/>
    </row>
    <row r="157" spans="1:12" s="2" customFormat="1" ht="20.100000000000001" hidden="1" customHeight="1">
      <c r="A157" s="195" t="s">
        <v>95</v>
      </c>
      <c r="B157" s="130"/>
      <c r="C157" s="196">
        <f t="shared" ref="C157:I157" si="53">IF(C138&gt;200,200,C138)</f>
        <v>0</v>
      </c>
      <c r="D157" s="196">
        <f t="shared" si="53"/>
        <v>0</v>
      </c>
      <c r="E157" s="196">
        <f t="shared" si="53"/>
        <v>0</v>
      </c>
      <c r="F157" s="196">
        <f t="shared" si="53"/>
        <v>0</v>
      </c>
      <c r="G157" s="196">
        <f t="shared" si="53"/>
        <v>0</v>
      </c>
      <c r="H157" s="196">
        <f t="shared" si="53"/>
        <v>0</v>
      </c>
      <c r="I157" s="197">
        <f t="shared" si="53"/>
        <v>0</v>
      </c>
    </row>
    <row r="158" spans="1:12" s="2" customFormat="1" ht="20.100000000000001" hidden="1" customHeight="1">
      <c r="A158" s="111"/>
      <c r="B158" s="130"/>
      <c r="C158" s="198">
        <f t="shared" ref="C158:I158" si="54">IF(AND(C138&gt;200,C157=200),C217,C157)</f>
        <v>0</v>
      </c>
      <c r="D158" s="198">
        <f t="shared" si="54"/>
        <v>0</v>
      </c>
      <c r="E158" s="198">
        <f t="shared" si="54"/>
        <v>0</v>
      </c>
      <c r="F158" s="198">
        <f t="shared" si="54"/>
        <v>0</v>
      </c>
      <c r="G158" s="198">
        <f t="shared" si="54"/>
        <v>0</v>
      </c>
      <c r="H158" s="198">
        <f t="shared" si="54"/>
        <v>0</v>
      </c>
      <c r="I158" s="199">
        <f t="shared" si="54"/>
        <v>0</v>
      </c>
    </row>
    <row r="159" spans="1:12" s="2" customFormat="1" ht="20.100000000000001" hidden="1" customHeight="1">
      <c r="A159" s="193"/>
      <c r="B159" s="130"/>
      <c r="C159" s="142">
        <f>C158</f>
        <v>0</v>
      </c>
      <c r="D159" s="142">
        <f t="shared" ref="D159:I159" si="55">D158</f>
        <v>0</v>
      </c>
      <c r="E159" s="142">
        <f t="shared" si="55"/>
        <v>0</v>
      </c>
      <c r="F159" s="142">
        <f t="shared" si="55"/>
        <v>0</v>
      </c>
      <c r="G159" s="142">
        <f t="shared" si="55"/>
        <v>0</v>
      </c>
      <c r="H159" s="142">
        <f t="shared" si="55"/>
        <v>0</v>
      </c>
      <c r="I159" s="623">
        <f t="shared" si="55"/>
        <v>0</v>
      </c>
    </row>
    <row r="160" spans="1:12" s="2" customFormat="1" ht="20.100000000000001" hidden="1" customHeight="1">
      <c r="A160" s="193"/>
      <c r="B160" s="130"/>
      <c r="C160" s="130">
        <f t="shared" ref="C160:I160" si="56">IF(C156&gt;C153,C156,C153)</f>
        <v>0</v>
      </c>
      <c r="D160" s="130">
        <f t="shared" si="56"/>
        <v>0</v>
      </c>
      <c r="E160" s="130">
        <f t="shared" si="56"/>
        <v>0</v>
      </c>
      <c r="F160" s="130">
        <f t="shared" si="56"/>
        <v>0</v>
      </c>
      <c r="G160" s="130">
        <f t="shared" si="56"/>
        <v>0</v>
      </c>
      <c r="H160" s="130">
        <f t="shared" si="56"/>
        <v>0</v>
      </c>
      <c r="I160" s="194">
        <f t="shared" si="56"/>
        <v>0</v>
      </c>
    </row>
    <row r="161" spans="1:9" s="2" customFormat="1" ht="20.100000000000001" hidden="1" customHeight="1">
      <c r="A161" s="202" t="s">
        <v>96</v>
      </c>
      <c r="B161" s="130"/>
      <c r="C161" s="634">
        <f t="shared" ref="C161:I161" si="57">IF(AND(C132+C139&gt;0,C132+C139&lt;100,C136=0,C138=0),C132+C139,IF(AND(C131+C139&gt;400,C160&gt;100,C138&gt;0,C160&gt;200),C160,IF(AND(C131+C139&gt;400,C160&gt;100,C138&gt;0,C159+100&gt;C160),MIN(200,C159+100),IF(AND(C131+C139&gt;400,C160&gt;100,C138&gt;0,C159+100&lt;C160),C160,IF(AND(C138&gt;0,C159&lt;=200,C160&lt;=200),MIN(200,C159+C160),C160)))))</f>
        <v>0</v>
      </c>
      <c r="D161" s="634">
        <f t="shared" si="57"/>
        <v>0</v>
      </c>
      <c r="E161" s="634">
        <f t="shared" si="57"/>
        <v>0</v>
      </c>
      <c r="F161" s="634">
        <f t="shared" si="57"/>
        <v>0</v>
      </c>
      <c r="G161" s="634">
        <f t="shared" si="57"/>
        <v>0</v>
      </c>
      <c r="H161" s="634">
        <f t="shared" si="57"/>
        <v>0</v>
      </c>
      <c r="I161" s="1218">
        <f t="shared" si="57"/>
        <v>0</v>
      </c>
    </row>
    <row r="162" spans="1:9" s="5" customFormat="1" ht="20.100000000000001" hidden="1" customHeight="1">
      <c r="A162" s="193"/>
      <c r="B162" s="130"/>
      <c r="C162" s="130">
        <f t="shared" ref="C162:I162" si="58">IF(C197&gt;0,C161,IF(C34="nein",C161,IF(AND(C161&lt;100,C200&gt;0),C215,C161)))</f>
        <v>0</v>
      </c>
      <c r="D162" s="130">
        <f t="shared" si="58"/>
        <v>0</v>
      </c>
      <c r="E162" s="130">
        <f t="shared" si="58"/>
        <v>0</v>
      </c>
      <c r="F162" s="130">
        <f t="shared" si="58"/>
        <v>0</v>
      </c>
      <c r="G162" s="130">
        <f t="shared" si="58"/>
        <v>0</v>
      </c>
      <c r="H162" s="130">
        <f t="shared" si="58"/>
        <v>0</v>
      </c>
      <c r="I162" s="194">
        <f t="shared" si="58"/>
        <v>0</v>
      </c>
    </row>
    <row r="163" spans="1:9" s="2" customFormat="1" ht="20.100000000000001" hidden="1" customHeight="1">
      <c r="A163" s="193"/>
      <c r="B163" s="130"/>
      <c r="C163" s="130">
        <f>IF(C162&gt;C161,C161-C215,C161)</f>
        <v>0</v>
      </c>
      <c r="D163" s="130">
        <f t="shared" ref="D163:I163" si="59">IF(D162&gt;D161,D161-D215,D161)</f>
        <v>0</v>
      </c>
      <c r="E163" s="130">
        <f t="shared" si="59"/>
        <v>0</v>
      </c>
      <c r="F163" s="130">
        <f t="shared" si="59"/>
        <v>0</v>
      </c>
      <c r="G163" s="130">
        <f t="shared" si="59"/>
        <v>0</v>
      </c>
      <c r="H163" s="130">
        <f t="shared" si="59"/>
        <v>0</v>
      </c>
      <c r="I163" s="194">
        <f t="shared" si="59"/>
        <v>0</v>
      </c>
    </row>
    <row r="164" spans="1:9" s="2" customFormat="1" ht="20.100000000000001" hidden="1" customHeight="1" thickBot="1">
      <c r="A164" s="624"/>
      <c r="B164" s="625"/>
      <c r="C164" s="626">
        <f>IF(C163&lt;0,C163*-1,C163)</f>
        <v>0</v>
      </c>
      <c r="D164" s="626">
        <f t="shared" ref="D164:I164" si="60">IF(D163&lt;0,D163*-1,D163)</f>
        <v>0</v>
      </c>
      <c r="E164" s="626">
        <f t="shared" si="60"/>
        <v>0</v>
      </c>
      <c r="F164" s="626">
        <f t="shared" si="60"/>
        <v>0</v>
      </c>
      <c r="G164" s="626">
        <f t="shared" si="60"/>
        <v>0</v>
      </c>
      <c r="H164" s="626">
        <f t="shared" si="60"/>
        <v>0</v>
      </c>
      <c r="I164" s="627">
        <f t="shared" si="60"/>
        <v>0</v>
      </c>
    </row>
    <row r="165" spans="1:9" s="2" customFormat="1" ht="20.100000000000001" hidden="1" customHeight="1">
      <c r="A165" s="407" t="s">
        <v>2264</v>
      </c>
      <c r="B165" s="1203">
        <f>SUM(C165:I165)</f>
        <v>0</v>
      </c>
      <c r="C165" s="1508">
        <f>Eingabetabelle!D90</f>
        <v>0</v>
      </c>
      <c r="D165" s="1508">
        <f>Eingabetabelle!E90</f>
        <v>0</v>
      </c>
      <c r="E165" s="1508">
        <f>Eingabetabelle!F90</f>
        <v>0</v>
      </c>
      <c r="F165" s="1508">
        <f>Eingabetabelle!G90</f>
        <v>0</v>
      </c>
      <c r="G165" s="1508">
        <f>Eingabetabelle!H90</f>
        <v>0</v>
      </c>
      <c r="H165" s="1508">
        <f>Eingabetabelle!I90</f>
        <v>0</v>
      </c>
      <c r="I165" s="1508">
        <f>Eingabetabelle!J90</f>
        <v>0</v>
      </c>
    </row>
    <row r="166" spans="1:9" s="2" customFormat="1" ht="15.95" hidden="1" customHeight="1">
      <c r="A166" s="1230">
        <f>IF(B165&gt;0,"vom Träger bereitgestellte Verpflegung",0)</f>
        <v>0</v>
      </c>
      <c r="B166" s="22"/>
      <c r="C166" s="1208"/>
      <c r="D166" s="1208"/>
      <c r="E166" s="1208"/>
      <c r="F166" s="1208"/>
      <c r="G166" s="1208"/>
      <c r="H166" s="1208"/>
      <c r="I166" s="1209"/>
    </row>
    <row r="167" spans="1:9" s="2" customFormat="1" ht="15.95" hidden="1" customHeight="1">
      <c r="A167" s="1230">
        <f>IF(B165&gt;0,"an durchschnittlich ____ Tagen im Monat",0)</f>
        <v>0</v>
      </c>
      <c r="B167" s="22"/>
      <c r="C167" s="1204"/>
      <c r="D167" s="1204"/>
      <c r="E167" s="1204"/>
      <c r="F167" s="1204"/>
      <c r="G167" s="1204"/>
      <c r="H167" s="1204"/>
      <c r="I167" s="1205"/>
    </row>
    <row r="168" spans="1:9" s="2" customFormat="1" ht="15" hidden="1" customHeight="1" thickBot="1">
      <c r="A168" s="1518">
        <f>IF(B168&gt;0,"Wert Verpflegung",0)</f>
        <v>0</v>
      </c>
      <c r="B168" s="967">
        <f>SUM(C168:I168)</f>
        <v>0</v>
      </c>
      <c r="C168" s="1519">
        <f>IF(C166="vollverpflegung",C23*C167*1%,IF(C166="frühstück",C23*C167*0.2%,IF(C166="mittagessen",C23*C167*0.4%,IF(C166="abendessen",C23*C167*0.4%,0))))</f>
        <v>0</v>
      </c>
      <c r="D168" s="1520">
        <f>IF(D166="vollverpflegung",D23*D167*1%,IF(D166="frühstück",D23*D167*0.2%,IF(D166="mittagessen",D23*D167*0.4%,IF(D166="abendessen",D23*D167*0.4%,0))))</f>
        <v>0</v>
      </c>
      <c r="E168" s="1520">
        <f>Eingabetabelle!F93</f>
        <v>0</v>
      </c>
      <c r="F168" s="1520">
        <f>Eingabetabelle!G93</f>
        <v>0</v>
      </c>
      <c r="G168" s="1520">
        <f>Eingabetabelle!H93</f>
        <v>0</v>
      </c>
      <c r="H168" s="1520">
        <f>Eingabetabelle!I93</f>
        <v>0</v>
      </c>
      <c r="I168" s="1520">
        <f>Eingabetabelle!J93</f>
        <v>0</v>
      </c>
    </row>
    <row r="169" spans="1:9" s="2" customFormat="1" ht="15" hidden="1" customHeight="1">
      <c r="A169" s="1857">
        <f>IF(B165&gt;0,"notwendige Ausgaben",0)</f>
        <v>0</v>
      </c>
      <c r="B169" s="1858">
        <f>SUM(C169:I169)</f>
        <v>0</v>
      </c>
      <c r="C169" s="1859">
        <f>Eingabetabelle!D94</f>
        <v>0</v>
      </c>
      <c r="D169" s="1859">
        <f>Eingabetabelle!E94</f>
        <v>0</v>
      </c>
      <c r="E169" s="1859">
        <f>Eingabetabelle!F94</f>
        <v>0</v>
      </c>
      <c r="F169" s="1859">
        <f>Eingabetabelle!G94</f>
        <v>0</v>
      </c>
      <c r="G169" s="1859">
        <f>Eingabetabelle!H94</f>
        <v>0</v>
      </c>
      <c r="H169" s="1859">
        <f>Eingabetabelle!I94</f>
        <v>0</v>
      </c>
      <c r="I169" s="1859">
        <f>Eingabetabelle!J94</f>
        <v>0</v>
      </c>
    </row>
    <row r="170" spans="1:9" s="2" customFormat="1" ht="20.100000000000001" hidden="1" customHeight="1">
      <c r="A170" s="1517" t="s">
        <v>105</v>
      </c>
      <c r="B170" s="40"/>
      <c r="C170" s="47">
        <f t="shared" ref="C170:I170" si="61">C165+C168</f>
        <v>0</v>
      </c>
      <c r="D170" s="47">
        <f t="shared" si="61"/>
        <v>0</v>
      </c>
      <c r="E170" s="47">
        <f t="shared" si="61"/>
        <v>0</v>
      </c>
      <c r="F170" s="47">
        <f t="shared" si="61"/>
        <v>0</v>
      </c>
      <c r="G170" s="47">
        <f t="shared" si="61"/>
        <v>0</v>
      </c>
      <c r="H170" s="47">
        <f t="shared" si="61"/>
        <v>0</v>
      </c>
      <c r="I170" s="47">
        <f t="shared" si="61"/>
        <v>0</v>
      </c>
    </row>
    <row r="171" spans="1:9" s="2" customFormat="1" ht="20.100000000000001" hidden="1" customHeight="1">
      <c r="A171" s="193"/>
      <c r="B171" s="130"/>
      <c r="C171" s="130">
        <f>IF(C165&gt;200,200,C165)</f>
        <v>0</v>
      </c>
      <c r="D171" s="130">
        <f t="shared" ref="D171:I171" si="62">IF(D165&gt;200,200,D165)</f>
        <v>0</v>
      </c>
      <c r="E171" s="130">
        <f t="shared" si="62"/>
        <v>0</v>
      </c>
      <c r="F171" s="130">
        <f t="shared" si="62"/>
        <v>0</v>
      </c>
      <c r="G171" s="130">
        <f t="shared" si="62"/>
        <v>0</v>
      </c>
      <c r="H171" s="130">
        <f t="shared" si="62"/>
        <v>0</v>
      </c>
      <c r="I171" s="194">
        <f t="shared" si="62"/>
        <v>0</v>
      </c>
    </row>
    <row r="172" spans="1:9" s="2" customFormat="1" ht="20.100000000000001" hidden="1" customHeight="1">
      <c r="A172" s="193"/>
      <c r="B172" s="130"/>
      <c r="C172" s="130">
        <f>IF(C161=200,0,IF(AND(C161&gt;1,C161&lt;200),C171-C161,C171))</f>
        <v>0</v>
      </c>
      <c r="D172" s="130">
        <f t="shared" ref="D172:I172" si="63">IF(D161=200,0,IF(AND(D161&gt;1,D161&lt;200),D171-D161,D171))</f>
        <v>0</v>
      </c>
      <c r="E172" s="130">
        <f t="shared" si="63"/>
        <v>0</v>
      </c>
      <c r="F172" s="130">
        <f t="shared" si="63"/>
        <v>0</v>
      </c>
      <c r="G172" s="130">
        <f t="shared" si="63"/>
        <v>0</v>
      </c>
      <c r="H172" s="130">
        <f t="shared" si="63"/>
        <v>0</v>
      </c>
      <c r="I172" s="194">
        <f t="shared" si="63"/>
        <v>0</v>
      </c>
    </row>
    <row r="173" spans="1:9" s="2" customFormat="1" ht="20.100000000000001" hidden="1" customHeight="1" thickBot="1">
      <c r="A173" s="652" t="s">
        <v>91</v>
      </c>
      <c r="B173" s="653"/>
      <c r="C173" s="1219">
        <f>IF(C172&lt;0,0,C172)</f>
        <v>0</v>
      </c>
      <c r="D173" s="1219">
        <f t="shared" ref="D173:I173" si="64">IF(D172&lt;0,0,D172)</f>
        <v>0</v>
      </c>
      <c r="E173" s="1219">
        <f t="shared" si="64"/>
        <v>0</v>
      </c>
      <c r="F173" s="1219">
        <f t="shared" si="64"/>
        <v>0</v>
      </c>
      <c r="G173" s="1219">
        <f t="shared" si="64"/>
        <v>0</v>
      </c>
      <c r="H173" s="1219">
        <f t="shared" si="64"/>
        <v>0</v>
      </c>
      <c r="I173" s="1220">
        <f t="shared" si="64"/>
        <v>0</v>
      </c>
    </row>
    <row r="174" spans="1:9" ht="20.100000000000001" hidden="1" customHeight="1">
      <c r="A174" s="1231" t="s">
        <v>61</v>
      </c>
      <c r="B174" s="1203">
        <f>C174+D174</f>
        <v>0</v>
      </c>
      <c r="C174" s="1508">
        <f>Eingabetabelle!D109</f>
        <v>0</v>
      </c>
      <c r="D174" s="1508">
        <f>Eingabetabelle!E109</f>
        <v>0</v>
      </c>
      <c r="E174" s="1234"/>
      <c r="F174" s="622"/>
      <c r="G174" s="622"/>
      <c r="H174" s="622"/>
      <c r="I174" s="953"/>
    </row>
    <row r="175" spans="1:9" ht="20.100000000000001" hidden="1" customHeight="1">
      <c r="A175" s="1232">
        <f>IF(B174&gt;0,"durchschnittl. mtl. Einkommen letzte 12 Monate",0)</f>
        <v>0</v>
      </c>
      <c r="B175" s="22"/>
      <c r="C175" s="36">
        <f>Eingabetabelle!D110</f>
        <v>0</v>
      </c>
      <c r="D175" s="36">
        <f>Eingabetabelle!E110</f>
        <v>0</v>
      </c>
      <c r="E175" s="1236"/>
      <c r="F175" s="64"/>
      <c r="G175" s="64"/>
      <c r="H175" s="64"/>
      <c r="I175" s="1104"/>
    </row>
    <row r="176" spans="1:9" ht="20.100000000000001" hidden="1" customHeight="1" thickBot="1">
      <c r="A176" s="826">
        <f>IF(B174&gt;0,"Verlängerungsoption beim Elterngeld",0)</f>
        <v>0</v>
      </c>
      <c r="B176" s="12"/>
      <c r="C176" s="1210" t="str">
        <f>Eingabetabelle!D111</f>
        <v>Nein</v>
      </c>
      <c r="D176" s="1210" t="str">
        <f>Eingabetabelle!E111</f>
        <v>Nein</v>
      </c>
      <c r="E176" s="1244"/>
      <c r="F176" s="396"/>
      <c r="G176" s="396"/>
      <c r="H176" s="396"/>
      <c r="I176" s="1245"/>
    </row>
    <row r="177" spans="1:9" ht="20.100000000000001" hidden="1" customHeight="1">
      <c r="A177" s="113"/>
      <c r="B177" s="55"/>
      <c r="C177" s="56">
        <f>IF(C175&gt;300,300,C175)</f>
        <v>0</v>
      </c>
      <c r="D177" s="56">
        <f>IF(D175&gt;300,300,D175)</f>
        <v>0</v>
      </c>
      <c r="E177" s="57"/>
      <c r="F177" s="57"/>
      <c r="G177" s="57"/>
      <c r="H177" s="57"/>
      <c r="I177" s="114"/>
    </row>
    <row r="178" spans="1:9" ht="20.100000000000001" hidden="1" customHeight="1">
      <c r="A178" s="113"/>
      <c r="B178" s="55"/>
      <c r="C178" s="56">
        <f>IF(C176="ja",MIN(150,C175/2),C177)</f>
        <v>0</v>
      </c>
      <c r="D178" s="56">
        <f t="shared" ref="D178:I178" si="65">IF(D176="ja",MIN(150,D175/2),D177)</f>
        <v>0</v>
      </c>
      <c r="E178" s="56">
        <f t="shared" si="65"/>
        <v>0</v>
      </c>
      <c r="F178" s="56">
        <f t="shared" si="65"/>
        <v>0</v>
      </c>
      <c r="G178" s="56">
        <f t="shared" si="65"/>
        <v>0</v>
      </c>
      <c r="H178" s="56">
        <f t="shared" si="65"/>
        <v>0</v>
      </c>
      <c r="I178" s="1221">
        <f t="shared" si="65"/>
        <v>0</v>
      </c>
    </row>
    <row r="179" spans="1:9" ht="20.100000000000001" hidden="1" customHeight="1" thickBot="1">
      <c r="A179" s="126" t="s">
        <v>78</v>
      </c>
      <c r="B179" s="55"/>
      <c r="C179" s="56">
        <f>IF(C178&lt;C177,C178,C177)</f>
        <v>0</v>
      </c>
      <c r="D179" s="56">
        <f>IF(D178&lt;D177,D178,D177)</f>
        <v>0</v>
      </c>
      <c r="E179" s="57"/>
      <c r="F179" s="57"/>
      <c r="G179" s="57"/>
      <c r="H179" s="57"/>
      <c r="I179" s="114"/>
    </row>
    <row r="180" spans="1:9" ht="20.100000000000001" hidden="1" customHeight="1">
      <c r="A180" s="656" t="s">
        <v>2265</v>
      </c>
      <c r="B180" s="1203">
        <f>SUM(C180:F180)</f>
        <v>0</v>
      </c>
      <c r="C180" s="1508">
        <f>Eingabetabelle!D103</f>
        <v>0</v>
      </c>
      <c r="D180" s="1508">
        <f>Eingabetabelle!E103</f>
        <v>0</v>
      </c>
      <c r="E180" s="1508">
        <f>Eingabetabelle!F103</f>
        <v>0</v>
      </c>
      <c r="F180" s="1508">
        <f>Eingabetabelle!G103</f>
        <v>0</v>
      </c>
      <c r="G180" s="1234"/>
      <c r="H180" s="622"/>
      <c r="I180" s="953"/>
    </row>
    <row r="181" spans="1:9" ht="20.100000000000001" hidden="1" customHeight="1">
      <c r="A181" s="97">
        <f>IF(B180&gt;0,"Schultage im Monat",0)</f>
        <v>0</v>
      </c>
      <c r="B181" s="22"/>
      <c r="C181" s="1206"/>
      <c r="D181" s="1206"/>
      <c r="E181" s="1206"/>
      <c r="F181" s="1206"/>
      <c r="G181" s="1236"/>
      <c r="H181" s="64"/>
      <c r="I181" s="1104"/>
    </row>
    <row r="182" spans="1:9" ht="20.100000000000001" hidden="1" customHeight="1">
      <c r="A182" s="97">
        <f>IF(B180&gt;0,"Entfernung Wohnung - Schule",0)</f>
        <v>0</v>
      </c>
      <c r="B182" s="22"/>
      <c r="C182" s="1211"/>
      <c r="D182" s="1211"/>
      <c r="E182" s="1211"/>
      <c r="F182" s="1211"/>
      <c r="G182" s="1236"/>
      <c r="H182" s="64"/>
      <c r="I182" s="1104"/>
    </row>
    <row r="183" spans="1:9" ht="20.100000000000001" hidden="1" customHeight="1">
      <c r="A183" s="97"/>
      <c r="B183" s="22"/>
      <c r="C183" s="36">
        <f>C181*C182*0.2</f>
        <v>0</v>
      </c>
      <c r="D183" s="36">
        <f t="shared" ref="D183:F183" si="66">D181*D182*0.2</f>
        <v>0</v>
      </c>
      <c r="E183" s="36">
        <f t="shared" si="66"/>
        <v>0</v>
      </c>
      <c r="F183" s="36">
        <f t="shared" si="66"/>
        <v>0</v>
      </c>
      <c r="G183" s="57"/>
      <c r="H183" s="1236"/>
      <c r="I183" s="1104"/>
    </row>
    <row r="184" spans="1:9" ht="20.100000000000001" hidden="1" customHeight="1">
      <c r="A184" s="97">
        <f>IF(B180&gt;0,"oder Monatsfahrkarte",0)</f>
        <v>0</v>
      </c>
      <c r="B184" s="22"/>
      <c r="C184" s="36"/>
      <c r="D184" s="36"/>
      <c r="E184" s="36"/>
      <c r="F184" s="36"/>
      <c r="G184" s="1236"/>
      <c r="H184" s="64"/>
      <c r="I184" s="1104"/>
    </row>
    <row r="185" spans="1:9" ht="20.100000000000001" hidden="1" customHeight="1">
      <c r="A185" s="113"/>
      <c r="B185" s="55"/>
      <c r="C185" s="57">
        <f>MAX(C183,C184)</f>
        <v>0</v>
      </c>
      <c r="D185" s="57">
        <f t="shared" ref="D185:F185" si="67">MAX(D183,D184)</f>
        <v>0</v>
      </c>
      <c r="E185" s="57">
        <f t="shared" si="67"/>
        <v>0</v>
      </c>
      <c r="F185" s="57">
        <f t="shared" si="67"/>
        <v>0</v>
      </c>
      <c r="G185" s="419"/>
      <c r="H185" s="419"/>
      <c r="I185" s="420"/>
    </row>
    <row r="186" spans="1:9" ht="20.100000000000001" hidden="1" customHeight="1" thickBot="1">
      <c r="A186" s="826">
        <f>IF(B180&gt;0,"sonstige Kosten, z.B. Ausbildungsmaterial",0)</f>
        <v>0</v>
      </c>
      <c r="B186" s="266"/>
      <c r="C186" s="1222"/>
      <c r="D186" s="1222"/>
      <c r="E186" s="1222"/>
      <c r="F186" s="1222"/>
      <c r="G186" s="1238"/>
      <c r="H186" s="1239"/>
      <c r="I186" s="1237"/>
    </row>
    <row r="187" spans="1:9" ht="20.100000000000001" hidden="1" customHeight="1">
      <c r="A187" s="99"/>
      <c r="B187" s="55"/>
      <c r="C187" s="58">
        <f>MIN(C180,100)</f>
        <v>0</v>
      </c>
      <c r="D187" s="58">
        <f t="shared" ref="D187:F187" si="68">MIN(D180,100)</f>
        <v>0</v>
      </c>
      <c r="E187" s="58">
        <f t="shared" si="68"/>
        <v>0</v>
      </c>
      <c r="F187" s="58">
        <f t="shared" si="68"/>
        <v>0</v>
      </c>
      <c r="G187" s="419"/>
      <c r="H187" s="419"/>
      <c r="I187" s="420"/>
    </row>
    <row r="188" spans="1:9" ht="20.100000000000001" hidden="1" customHeight="1">
      <c r="A188" s="99"/>
      <c r="B188" s="55"/>
      <c r="C188" s="58">
        <f>IF(AND(C161&gt;0,C161&lt;=100),MIN(100-C161,C187),IF(C159&gt;100,0,C187))</f>
        <v>0</v>
      </c>
      <c r="D188" s="58">
        <f t="shared" ref="D188:F188" si="69">IF(AND(D161&gt;0,D161&lt;=100),MIN(100-D161,D187),IF(D159&gt;100,0,D187))</f>
        <v>0</v>
      </c>
      <c r="E188" s="58">
        <f t="shared" si="69"/>
        <v>0</v>
      </c>
      <c r="F188" s="58">
        <f t="shared" si="69"/>
        <v>0</v>
      </c>
      <c r="G188" s="419"/>
      <c r="H188" s="419"/>
      <c r="I188" s="420"/>
    </row>
    <row r="189" spans="1:9" ht="20.100000000000001" hidden="1" customHeight="1">
      <c r="A189" s="636" t="s">
        <v>209</v>
      </c>
      <c r="B189" s="55"/>
      <c r="C189" s="58">
        <f>IF(OR(C161&gt;100,C180=0),0,C188)</f>
        <v>0</v>
      </c>
      <c r="D189" s="58">
        <f t="shared" ref="D189:F189" si="70">IF(OR(D161&gt;100,D180=0),0,D188)</f>
        <v>0</v>
      </c>
      <c r="E189" s="58">
        <f t="shared" si="70"/>
        <v>0</v>
      </c>
      <c r="F189" s="58">
        <f t="shared" si="70"/>
        <v>0</v>
      </c>
      <c r="G189" s="419"/>
      <c r="H189" s="419"/>
      <c r="I189" s="420"/>
    </row>
    <row r="190" spans="1:9" ht="20.100000000000001" hidden="1" customHeight="1">
      <c r="A190" s="636" t="s">
        <v>210</v>
      </c>
      <c r="B190" s="55"/>
      <c r="C190" s="58">
        <f>IF(C185+C186&gt;C189,MIN(C180,C185+C186),IF(AND(C174+C180+C192+C195+C196+C197+C198+C199&gt;0,C191&gt;C189),C185+C186,0))</f>
        <v>0</v>
      </c>
      <c r="D190" s="58">
        <f t="shared" ref="D190:F190" si="71">IF(D185+D186&gt;D189,MIN(D180,D185+D186),IF(AND(D174+D180+D192+D195+D196+D197+D198+D199&gt;0,D191&gt;D189),D185+D186,0))</f>
        <v>0</v>
      </c>
      <c r="E190" s="58">
        <f t="shared" si="71"/>
        <v>0</v>
      </c>
      <c r="F190" s="58">
        <f t="shared" si="71"/>
        <v>0</v>
      </c>
      <c r="G190" s="419"/>
      <c r="H190" s="419"/>
      <c r="I190" s="420"/>
    </row>
    <row r="191" spans="1:9" ht="20.100000000000001" hidden="1" customHeight="1" thickBot="1">
      <c r="A191" s="99"/>
      <c r="B191" s="55"/>
      <c r="C191" s="58">
        <f>IF(AND(C180&gt;0,C185+C186+C214&gt;100),C185+C186+C214,0)</f>
        <v>0</v>
      </c>
      <c r="D191" s="58">
        <f t="shared" ref="D191:F191" si="72">IF(AND(D180&gt;0,D185+D186+D214&gt;100),D185+D186+D214,0)</f>
        <v>0</v>
      </c>
      <c r="E191" s="58">
        <f t="shared" si="72"/>
        <v>0</v>
      </c>
      <c r="F191" s="58">
        <f t="shared" si="72"/>
        <v>0</v>
      </c>
      <c r="G191" s="419"/>
      <c r="H191" s="419"/>
      <c r="I191" s="420"/>
    </row>
    <row r="192" spans="1:9" s="2" customFormat="1" ht="20.100000000000001" hidden="1" customHeight="1">
      <c r="A192" s="422" t="s">
        <v>23</v>
      </c>
      <c r="B192" s="49">
        <f>COUNTIF(E192:I192,"&gt;0")</f>
        <v>0</v>
      </c>
      <c r="C192" s="1508"/>
      <c r="D192" s="1508"/>
      <c r="E192" s="1509">
        <f>IF(AND(E$18&lt;18,G$18&gt;17),D245,IF(AND(E$18&lt;18,F$18&lt;18,G$18&lt;18,H$18&gt;17),E245,IF(AND(E$18&lt;18,F$18&lt;18,G$18&lt;18,H$18&lt;18,I$18&gt;17),F245,IF(AND(E$18&lt;18,F$18&lt;18,G$18&lt;18,H$18&lt;18,I$18&lt;18),G245,0))))</f>
        <v>0</v>
      </c>
      <c r="F192" s="1509">
        <f>IF(AND(F$18&lt;18,E$18&gt;17,H$18&gt;17),D245,IF(AND(F$18&lt;18,G$18&gt;17),D245,IF(AND(E$18&lt;18,F$18&lt;18,G$18&lt;18,H$18&gt;17),E245,IF(AND(E$18&gt;17,F$18&lt;18,G$18&lt;18,H$18&lt;18,I$18&gt;17),E245,IF(AND(E$18&lt;18,F$18&lt;18,G$18&lt;18,H$18&lt;18,I$18&gt;17),F245,IF(AND(E$18&gt;17,F$18&lt;18,G$18&lt;18,H$18&lt;18,I$18&lt;18),F245,IF(AND(E$18&lt;18,F$18&lt;18,G$18&lt;18,H$18&lt;18,I$18&lt;18),G245,0)))))))</f>
        <v>0</v>
      </c>
      <c r="G192" s="1509">
        <f>IF(AND(G$18&lt;18,E$18&gt;17,F$18&lt;18,H$18&gt;17),D245,IF(AND(G$18&lt;18,E$18&gt;17,F$18&gt;17,H$18&lt;18,I$18&gt;17),D245,IF(AND(E$18&lt;18,F$18&lt;18,G$18&lt;18,H$18&gt;17),E245,IF(AND(E$18&gt;17,F$18&lt;18,G$18&lt;18,H$18&lt;18,I$18&gt;17),E245,IF(AND(E$18&lt;18,F$18&lt;18,G$18&lt;18,H$18&lt;18,I$18&gt;17),F245,IF(AND(E$18&gt;17,F$18&lt;18,G$18&lt;18,H$18&lt;18,I$18&lt;18),F245,IF(AND(E$18&lt;18,F$18&lt;18,G$18&lt;18,H$18&lt;18,I$18&lt;18),G245,0)))))))</f>
        <v>0</v>
      </c>
      <c r="H192" s="1509">
        <f>IF(AND(E$18&gt;17,F$18&gt;17,G$18&gt;17,H$18&lt;18),D245,IF(AND(E$18&gt;17,F$18&gt;17,G$18&lt;18,H$18&lt;18,I$18&gt;17),D245,IF(AND(E$18&gt;17,F$18&lt;18,G$18&lt;18,H$18&lt;18,I$18&gt;17),E245,IF(AND(E$18&gt;17,F$18&gt;17,G$18&lt;18,I$18&lt;18,H$18&lt;18),E245,IF(AND(E$18&lt;18,F$18&lt;18,G$18&lt;18,H$18&lt;18,I$18&gt;17),F245,IF(AND(E$18&gt;17,F$18&lt;18,G$18&lt;18,H$18&lt;18,I$18&lt;18),F245,IF(AND(E$18&lt;18,F$18&lt;18,G$18&lt;18,H$18&lt;18,I$18&lt;18),G245,0)))))))</f>
        <v>0</v>
      </c>
      <c r="I192" s="1510">
        <f>IF(AND(E$18&gt;17,F$18&gt;17,G$18&gt;17,H$18&gt;17,I$18&lt;18),D245,IF(AND(E$18&gt;17,F$18&gt;17,G$18&gt;17,I$18&lt;18),D245,IF(AND(E$18&gt;17,F$18&gt;17,G$18&lt;18,H$18&lt;18,I$18&lt;18),E245,IF(AND(E$18&gt;17,F$18&lt;18,G$18&lt;18,H$18&lt;18,I$18&lt;18),F245,IF(AND(E$18&lt;18,F$18&lt;18,G$18&lt;18,H$18&lt;18,I$18&lt;18),G245,0)))))</f>
        <v>0</v>
      </c>
    </row>
    <row r="193" spans="1:10" s="2" customFormat="1" ht="20.100000000000001" hidden="1" customHeight="1">
      <c r="A193" s="631" t="s">
        <v>80</v>
      </c>
      <c r="B193" s="44"/>
      <c r="C193" s="1511">
        <f>Eingabetabelle!D99</f>
        <v>0</v>
      </c>
      <c r="D193" s="1511">
        <f>Eingabetabelle!E99</f>
        <v>0</v>
      </c>
      <c r="E193" s="1511">
        <f>Eingabetabelle!F99</f>
        <v>0</v>
      </c>
      <c r="F193" s="1511">
        <f>Eingabetabelle!G99</f>
        <v>0</v>
      </c>
      <c r="G193" s="1511">
        <f>Eingabetabelle!H99</f>
        <v>0</v>
      </c>
      <c r="H193" s="1511">
        <f>Eingabetabelle!I99</f>
        <v>0</v>
      </c>
      <c r="I193" s="1511">
        <f>Eingabetabelle!J99</f>
        <v>0</v>
      </c>
    </row>
    <row r="194" spans="1:10" s="2" customFormat="1" ht="20.100000000000001" hidden="1" customHeight="1">
      <c r="A194" s="79" t="s">
        <v>81</v>
      </c>
      <c r="B194" s="22"/>
      <c r="C194" s="383"/>
      <c r="D194" s="1240">
        <f>COUNTIF(E194:I194,"&gt;=268")</f>
        <v>0</v>
      </c>
      <c r="E194" s="1512">
        <f>IF(AND($B$46&gt;0,E18&lt;6),$C$246,IF(AND($B$46&gt;0,E18&gt;5,E18&lt;12),$D$246,IF(AND($B$46&gt;0,E18&gt;11,E18&lt;18,Kinderzuschlag!$B$168&gt;=600),$E$246,0)))</f>
        <v>0</v>
      </c>
      <c r="F194" s="1512">
        <f>IF(AND($B$46&gt;0,F18&lt;6),$C$246,IF(AND($B$46&gt;0,F18&gt;5,F18&lt;12),$D$246,IF(AND($B$46&gt;0,F18&gt;11,F18&lt;18,Kinderzuschlag!$B$168&gt;=600),$E$246,0)))</f>
        <v>0</v>
      </c>
      <c r="G194" s="1512">
        <f>IF(AND($B$46&gt;0,G18&lt;6),$C$246,IF(AND($B$46&gt;0,G18&gt;5,G18&lt;12),$D$246,IF(AND($B$46&gt;0,G18&gt;11,G18&lt;18,Kinderzuschlag!$B$168&gt;=600),$E$246,0)))</f>
        <v>0</v>
      </c>
      <c r="H194" s="1512">
        <f>IF(AND($B$46&gt;0,H18&lt;6),$C$246,IF(AND($B$46&gt;0,H18&gt;5,H18&lt;12),$D$246,IF(AND($B$46&gt;0,H18&gt;11,H18&lt;18,Kinderzuschlag!$B$168&gt;=600),$E$246,0)))</f>
        <v>0</v>
      </c>
      <c r="I194" s="1513">
        <f>IF(AND($B$46&gt;0,I18&lt;6),$C$246,IF(AND($B$46&gt;0,I18&gt;5,I18&lt;12),$D$246,IF(AND($B$46&gt;0,I18&gt;11,I18&lt;18,Kinderzuschlag!$B$168&gt;=600),$E$246,0)))</f>
        <v>0</v>
      </c>
    </row>
    <row r="195" spans="1:10" s="2" customFormat="1" ht="20.100000000000001" hidden="1" customHeight="1">
      <c r="A195" s="112"/>
      <c r="B195" s="40">
        <f>SUMPRODUCT(((E195:I195&gt;=268)*(Berechnung!E9:'Berechnung'!I9&gt;11)*(Berechnung!E9:'Berechnung'!I9&lt;18)))</f>
        <v>0</v>
      </c>
      <c r="C195" s="47">
        <f>C193</f>
        <v>0</v>
      </c>
      <c r="D195" s="47">
        <f>D193</f>
        <v>0</v>
      </c>
      <c r="E195" s="47">
        <f>Eingabetabelle!F101</f>
        <v>0</v>
      </c>
      <c r="F195" s="47">
        <f>Eingabetabelle!G101</f>
        <v>0</v>
      </c>
      <c r="G195" s="47">
        <f>Eingabetabelle!H101</f>
        <v>0</v>
      </c>
      <c r="H195" s="47">
        <f>Eingabetabelle!I101</f>
        <v>0</v>
      </c>
      <c r="I195" s="47">
        <f>Eingabetabelle!J101</f>
        <v>0</v>
      </c>
    </row>
    <row r="196" spans="1:10" s="2" customFormat="1" ht="20.100000000000001" hidden="1" customHeight="1">
      <c r="A196" s="584" t="s">
        <v>25</v>
      </c>
      <c r="B196" s="40"/>
      <c r="C196" s="58">
        <f>Eingabetabelle!D95</f>
        <v>0</v>
      </c>
      <c r="D196" s="58">
        <f>Eingabetabelle!E95</f>
        <v>0</v>
      </c>
      <c r="E196" s="58">
        <f>Eingabetabelle!F95</f>
        <v>0</v>
      </c>
      <c r="F196" s="58">
        <f>Eingabetabelle!G95</f>
        <v>0</v>
      </c>
      <c r="G196" s="58">
        <f>Eingabetabelle!H95</f>
        <v>0</v>
      </c>
      <c r="H196" s="58">
        <f>Eingabetabelle!I95</f>
        <v>0</v>
      </c>
      <c r="I196" s="58">
        <f>Eingabetabelle!J95</f>
        <v>0</v>
      </c>
    </row>
    <row r="197" spans="1:10" s="2" customFormat="1" ht="20.100000000000001" hidden="1" customHeight="1">
      <c r="A197" s="99" t="s">
        <v>79</v>
      </c>
      <c r="B197" s="40"/>
      <c r="C197" s="58">
        <f>Eingabetabelle!D104</f>
        <v>0</v>
      </c>
      <c r="D197" s="58">
        <f>Eingabetabelle!E104</f>
        <v>0</v>
      </c>
      <c r="E197" s="382"/>
      <c r="F197" s="1242"/>
      <c r="G197" s="1242"/>
      <c r="H197" s="1242"/>
      <c r="I197" s="1243"/>
    </row>
    <row r="198" spans="1:10" s="2" customFormat="1" ht="20.100000000000001" hidden="1" customHeight="1">
      <c r="A198" s="90" t="str">
        <f>Eingabetabelle!A105</f>
        <v>Krankengeld</v>
      </c>
      <c r="B198" s="22"/>
      <c r="C198" s="36">
        <f>Eingabetabelle!D105</f>
        <v>0</v>
      </c>
      <c r="D198" s="36">
        <f>Eingabetabelle!E105</f>
        <v>0</v>
      </c>
      <c r="E198" s="36">
        <f>Eingabetabelle!F105</f>
        <v>0</v>
      </c>
      <c r="F198" s="36">
        <f>Eingabetabelle!G105</f>
        <v>0</v>
      </c>
      <c r="G198" s="36">
        <f>Eingabetabelle!H105</f>
        <v>0</v>
      </c>
      <c r="H198" s="36">
        <f>Eingabetabelle!I105</f>
        <v>0</v>
      </c>
      <c r="I198" s="36">
        <f>Eingabetabelle!J105</f>
        <v>0</v>
      </c>
    </row>
    <row r="199" spans="1:10" s="2" customFormat="1" ht="20.100000000000001" hidden="1" customHeight="1" thickBot="1">
      <c r="A199" s="94" t="s">
        <v>115</v>
      </c>
      <c r="B199" s="12"/>
      <c r="C199" s="1222">
        <f>SUM(Eingabetabelle!D102+Eingabetabelle!D106+Eingabetabelle!D107)</f>
        <v>0</v>
      </c>
      <c r="D199" s="1222">
        <f>SUM(Eingabetabelle!E106+Eingabetabelle!E107)</f>
        <v>0</v>
      </c>
      <c r="E199" s="1222">
        <f>SUM(Eingabetabelle!F106+Eingabetabelle!F107)</f>
        <v>0</v>
      </c>
      <c r="F199" s="1222">
        <f>SUM(Eingabetabelle!G106+Eingabetabelle!G107)</f>
        <v>0</v>
      </c>
      <c r="G199" s="1222">
        <f>SUM(Eingabetabelle!H106+Eingabetabelle!H107)</f>
        <v>0</v>
      </c>
      <c r="H199" s="1222">
        <f>SUM(Eingabetabelle!I106+Eingabetabelle!I107)</f>
        <v>0</v>
      </c>
      <c r="I199" s="1222">
        <f>SUM(Eingabetabelle!J106+Eingabetabelle!J107)</f>
        <v>0</v>
      </c>
    </row>
    <row r="200" spans="1:10" s="2" customFormat="1" ht="20.100000000000001" hidden="1" customHeight="1">
      <c r="A200" s="421"/>
      <c r="B200" s="55"/>
      <c r="C200" s="57">
        <f t="shared" ref="C200:D200" si="73">C174+C180+C192+C195+C196+C197+C198+C199</f>
        <v>0</v>
      </c>
      <c r="D200" s="57">
        <f t="shared" si="73"/>
        <v>0</v>
      </c>
      <c r="E200" s="57">
        <f>E174+E180+E192+E195+E196+E197+E198+E199+Eingabetabelle!F98</f>
        <v>0</v>
      </c>
      <c r="F200" s="57">
        <f>F174+F180+F192+F195+F196+F197+F198+F199+Eingabetabelle!G98</f>
        <v>0</v>
      </c>
      <c r="G200" s="57">
        <f>G174+G180+G192+G195+G196+G197+G198+G199+Eingabetabelle!H98</f>
        <v>0</v>
      </c>
      <c r="H200" s="57">
        <f>H174+H180+H192+H195+H196+H197+H198+H199+Eingabetabelle!I98</f>
        <v>0</v>
      </c>
      <c r="I200" s="57">
        <f>I174+I180+I192+I195+I196+I197+I198+I199+Eingabetabelle!J98</f>
        <v>0</v>
      </c>
    </row>
    <row r="201" spans="1:10" s="2" customFormat="1" ht="21" hidden="1" customHeight="1" thickBot="1">
      <c r="A201" s="127" t="s">
        <v>26</v>
      </c>
      <c r="B201" s="45"/>
      <c r="C201" s="45">
        <f t="shared" ref="C201:D201" si="74">C192+C195+C196+C197+C198+C199+C141+C139+C174+C180</f>
        <v>0</v>
      </c>
      <c r="D201" s="45">
        <f t="shared" si="74"/>
        <v>0</v>
      </c>
      <c r="E201" s="45">
        <f>E192+E195+E196+E197+E198+E199+E141+E139+E174+E180+Eingabetabelle!F98</f>
        <v>0</v>
      </c>
      <c r="F201" s="45">
        <f>F192+F195+F196+F197+F198+F199+F141+F139+F174+F180+Eingabetabelle!G98</f>
        <v>0</v>
      </c>
      <c r="G201" s="45">
        <f>G192+G195+G196+G197+G198+G199+G141+G139+G174+G180+Eingabetabelle!H98</f>
        <v>0</v>
      </c>
      <c r="H201" s="45">
        <f>H192+H195+H196+H197+H198+H199+H141+H139+H174+H180+Eingabetabelle!I98</f>
        <v>0</v>
      </c>
      <c r="I201" s="45">
        <f>I192+I195+I196+I197+I198+I199+I141+I139+I174+I180+Eingabetabelle!J98</f>
        <v>0</v>
      </c>
    </row>
    <row r="202" spans="1:10" s="2" customFormat="1" ht="22.15" hidden="1" customHeight="1">
      <c r="A202" s="178" t="s">
        <v>66</v>
      </c>
      <c r="B202" s="354" t="s">
        <v>30</v>
      </c>
      <c r="C202" s="354" t="str">
        <f t="shared" ref="C202:I202" si="75">C4</f>
        <v>Antragsteller</v>
      </c>
      <c r="D202" s="354" t="str">
        <f t="shared" si="75"/>
        <v>Partner(in)</v>
      </c>
      <c r="E202" s="354" t="str">
        <f t="shared" si="75"/>
        <v>Kind 1</v>
      </c>
      <c r="F202" s="354" t="str">
        <f t="shared" si="75"/>
        <v>Kind 2</v>
      </c>
      <c r="G202" s="354" t="str">
        <f t="shared" si="75"/>
        <v>Kind 3</v>
      </c>
      <c r="H202" s="354" t="str">
        <f t="shared" si="75"/>
        <v>Kind 4</v>
      </c>
      <c r="I202" s="355" t="str">
        <f t="shared" si="75"/>
        <v>Kind 5</v>
      </c>
    </row>
    <row r="203" spans="1:10" s="2" customFormat="1" ht="20.100000000000001" hidden="1" customHeight="1">
      <c r="A203" s="97" t="s">
        <v>2266</v>
      </c>
      <c r="B203" s="22"/>
      <c r="C203" s="62">
        <f t="shared" ref="C203:D203" si="76">IF(AND(C18&gt;17,C18&lt;113,C201&gt;0),30,0)</f>
        <v>0</v>
      </c>
      <c r="D203" s="62">
        <f t="shared" si="76"/>
        <v>0</v>
      </c>
      <c r="E203" s="62">
        <f>IF(AND(E18&gt;17,E18&lt;113,E201&gt;0),30,0)</f>
        <v>0</v>
      </c>
      <c r="F203" s="62">
        <f>IF(AND(F18&gt;17,F18&lt;113,F201&gt;0),30,0)</f>
        <v>0</v>
      </c>
      <c r="G203" s="62">
        <f>IF(AND(G18&gt;17,G18&lt;113,G201&gt;0),30,0)</f>
        <v>0</v>
      </c>
      <c r="H203" s="62">
        <f>IF(AND(H18&gt;17,H18&lt;113,H201&gt;0),30,0)</f>
        <v>0</v>
      </c>
      <c r="I203" s="110">
        <f>IF(AND(I18&gt;17,I18&lt;113,I201&gt;0),30,0)</f>
        <v>0</v>
      </c>
    </row>
    <row r="204" spans="1:10" s="2" customFormat="1" ht="20.100000000000001" hidden="1" customHeight="1">
      <c r="A204" s="97" t="s">
        <v>75</v>
      </c>
      <c r="B204" s="22"/>
      <c r="C204" s="36">
        <f>Eingabetabelle!D78/12</f>
        <v>0</v>
      </c>
      <c r="D204" s="36">
        <f>Eingabetabelle!E78/12</f>
        <v>0</v>
      </c>
      <c r="E204" s="36">
        <f>Eingabetabelle!F78/12</f>
        <v>0</v>
      </c>
      <c r="F204" s="36">
        <f>Eingabetabelle!G78/12</f>
        <v>0</v>
      </c>
      <c r="G204" s="36">
        <f>Eingabetabelle!H78/12</f>
        <v>0</v>
      </c>
      <c r="H204" s="36">
        <f>Eingabetabelle!I78/12</f>
        <v>0</v>
      </c>
      <c r="I204" s="36">
        <f>Eingabetabelle!J78/12</f>
        <v>0</v>
      </c>
    </row>
    <row r="205" spans="1:10" s="2" customFormat="1" ht="20.100000000000001" hidden="1" customHeight="1" thickBot="1">
      <c r="A205" s="837" t="s">
        <v>286</v>
      </c>
      <c r="B205" s="12"/>
      <c r="C205" s="1514">
        <f>Eingabetabelle!D74</f>
        <v>0</v>
      </c>
      <c r="D205" s="1514">
        <f>Eingabetabelle!E74</f>
        <v>0</v>
      </c>
      <c r="E205" s="1514">
        <f>Eingabetabelle!F74</f>
        <v>0</v>
      </c>
      <c r="F205" s="1514">
        <f>Eingabetabelle!G73</f>
        <v>0</v>
      </c>
      <c r="G205" s="1514">
        <f>Eingabetabelle!H73</f>
        <v>0</v>
      </c>
      <c r="H205" s="1514">
        <f>Eingabetabelle!I73</f>
        <v>0</v>
      </c>
      <c r="I205" s="1514">
        <f>Eingabetabelle!J73</f>
        <v>0</v>
      </c>
      <c r="J205" s="3"/>
    </row>
    <row r="206" spans="1:10" s="2" customFormat="1" ht="20.100000000000001" hidden="1" customHeight="1" thickBot="1">
      <c r="A206" s="1870"/>
      <c r="B206" s="1871"/>
      <c r="C206" s="1872"/>
      <c r="D206" s="1873"/>
      <c r="E206" s="1873"/>
      <c r="F206" s="1873"/>
      <c r="G206" s="1874"/>
      <c r="H206" s="1874"/>
      <c r="I206" s="1875"/>
      <c r="J206" s="3"/>
    </row>
    <row r="207" spans="1:10" s="2" customFormat="1" ht="20.100000000000001" hidden="1" customHeight="1">
      <c r="A207" s="179" t="s">
        <v>2384</v>
      </c>
      <c r="B207" s="49">
        <f>COUNTIF(C207:F207,"wahr")</f>
        <v>0</v>
      </c>
      <c r="C207" s="1233" t="b">
        <f>Eingabetabelle!D85</f>
        <v>0</v>
      </c>
      <c r="D207" s="1233" t="b">
        <f>Eingabetabelle!E85</f>
        <v>0</v>
      </c>
      <c r="E207" s="1233" t="b">
        <f>Eingabetabelle!F85</f>
        <v>0</v>
      </c>
      <c r="F207" s="1233" t="b">
        <f>Eingabetabelle!G85</f>
        <v>0</v>
      </c>
      <c r="G207" s="622"/>
      <c r="H207" s="622"/>
      <c r="I207" s="953"/>
    </row>
    <row r="208" spans="1:10" s="2" customFormat="1" ht="20.100000000000001" hidden="1" customHeight="1">
      <c r="A208" s="651" t="s">
        <v>2388</v>
      </c>
      <c r="B208" s="1212"/>
      <c r="C208" s="1744">
        <f>C138+C140+C165+C174+C180+C192+C193+C196+C197+C198+C199</f>
        <v>0</v>
      </c>
      <c r="D208" s="1744">
        <f t="shared" ref="D208:F208" si="77">D138+D140+D165+D174+D180+D192+D193+D196+D197+D198+D199</f>
        <v>0</v>
      </c>
      <c r="E208" s="1744">
        <f t="shared" si="77"/>
        <v>0</v>
      </c>
      <c r="F208" s="1744">
        <f t="shared" si="77"/>
        <v>0</v>
      </c>
      <c r="G208" s="1747"/>
      <c r="H208" s="64"/>
      <c r="I208" s="1104"/>
    </row>
    <row r="209" spans="1:9" s="2" customFormat="1" ht="20.100000000000001" hidden="1" customHeight="1">
      <c r="A209" s="97">
        <f>IF(B207&gt;0,"zulageberechtigte Kinder im Haushalt des LB",0)</f>
        <v>0</v>
      </c>
      <c r="B209" s="22"/>
      <c r="C209" s="36">
        <f>IF(C207=TRUE,$B$192,0)</f>
        <v>0</v>
      </c>
      <c r="D209" s="36">
        <f t="shared" ref="D209:F209" si="78">IF(D207=TRUE,$B$192,0)</f>
        <v>0</v>
      </c>
      <c r="E209" s="36">
        <f t="shared" si="78"/>
        <v>0</v>
      </c>
      <c r="F209" s="36">
        <f t="shared" si="78"/>
        <v>0</v>
      </c>
      <c r="G209" s="1236"/>
      <c r="H209" s="64"/>
      <c r="I209" s="1104"/>
    </row>
    <row r="210" spans="1:9" s="2" customFormat="1" ht="20.100000000000001" hidden="1" customHeight="1">
      <c r="A210" s="97"/>
      <c r="B210" s="22"/>
      <c r="C210" s="1879">
        <f>IF(C209=1,C208*1.5%,IF(C209&gt;1,5,C208*3%))</f>
        <v>0</v>
      </c>
      <c r="D210" s="1206">
        <f>IF(D209=1,D208*1.5%,IF(D209&gt;1,5,D208*3%))</f>
        <v>0</v>
      </c>
      <c r="E210" s="161">
        <f>E208*3%</f>
        <v>0</v>
      </c>
      <c r="F210" s="161">
        <f>F208*3%</f>
        <v>0</v>
      </c>
      <c r="G210" s="1258"/>
      <c r="H210" s="1259"/>
      <c r="I210" s="1260"/>
    </row>
    <row r="211" spans="1:9" s="2" customFormat="1" ht="16.5" hidden="1">
      <c r="A211" s="113"/>
      <c r="B211" s="55"/>
      <c r="C211" s="132">
        <f>IF(C210&lt;5,5,C210)</f>
        <v>5</v>
      </c>
      <c r="D211" s="132">
        <f t="shared" ref="D211:F211" si="79">IF(D210&lt;5,5,D210)</f>
        <v>5</v>
      </c>
      <c r="E211" s="132">
        <f t="shared" si="79"/>
        <v>5</v>
      </c>
      <c r="F211" s="132">
        <f t="shared" si="79"/>
        <v>5</v>
      </c>
      <c r="G211" s="132"/>
      <c r="H211" s="132"/>
      <c r="I211" s="133"/>
    </row>
    <row r="212" spans="1:9" s="2" customFormat="1" ht="16.5" hidden="1">
      <c r="A212" s="174"/>
      <c r="B212" s="6"/>
      <c r="C212" s="137">
        <f>IF(C207=TRUE,C211,0)</f>
        <v>0</v>
      </c>
      <c r="D212" s="137">
        <f t="shared" ref="D212:F212" si="80">IF(D207=TRUE,D211,0)</f>
        <v>0</v>
      </c>
      <c r="E212" s="137">
        <f t="shared" si="80"/>
        <v>0</v>
      </c>
      <c r="F212" s="137">
        <f t="shared" si="80"/>
        <v>0</v>
      </c>
      <c r="G212" s="137"/>
      <c r="H212" s="137"/>
      <c r="I212" s="175"/>
    </row>
    <row r="213" spans="1:9" s="2" customFormat="1" ht="16.5" hidden="1">
      <c r="A213" s="174"/>
      <c r="B213" s="6"/>
      <c r="C213" s="137">
        <f>IF(C208=TRUE,C212,0)</f>
        <v>0</v>
      </c>
      <c r="D213" s="137">
        <f t="shared" ref="D213:F213" si="81">IF(D208=TRUE,D212,0)</f>
        <v>0</v>
      </c>
      <c r="E213" s="137">
        <f t="shared" si="81"/>
        <v>0</v>
      </c>
      <c r="F213" s="137">
        <f t="shared" si="81"/>
        <v>0</v>
      </c>
      <c r="G213" s="137"/>
      <c r="H213" s="137"/>
      <c r="I213" s="175"/>
    </row>
    <row r="214" spans="1:9" s="2" customFormat="1" ht="16.5" hidden="1">
      <c r="A214" s="134" t="s">
        <v>90</v>
      </c>
      <c r="B214" s="135"/>
      <c r="C214" s="136">
        <f>C203+C204+C205+C212</f>
        <v>0</v>
      </c>
      <c r="D214" s="136">
        <f t="shared" ref="D214:H214" si="82">D203+D204+D205+D213</f>
        <v>0</v>
      </c>
      <c r="E214" s="136">
        <f t="shared" si="82"/>
        <v>0</v>
      </c>
      <c r="F214" s="136">
        <f t="shared" si="82"/>
        <v>0</v>
      </c>
      <c r="G214" s="136">
        <f t="shared" si="82"/>
        <v>0</v>
      </c>
      <c r="H214" s="136">
        <f t="shared" si="82"/>
        <v>0</v>
      </c>
      <c r="I214" s="176">
        <f>I203+I204+I205+I213</f>
        <v>0</v>
      </c>
    </row>
    <row r="215" spans="1:9" s="2" customFormat="1" ht="16.5" hidden="1">
      <c r="A215" s="134" t="s">
        <v>92</v>
      </c>
      <c r="B215" s="135"/>
      <c r="C215" s="136">
        <f t="shared" ref="C215:I215" si="83">C214+C124+C127+C148</f>
        <v>0</v>
      </c>
      <c r="D215" s="136">
        <f t="shared" si="83"/>
        <v>0</v>
      </c>
      <c r="E215" s="136">
        <f t="shared" si="83"/>
        <v>0</v>
      </c>
      <c r="F215" s="136">
        <f t="shared" si="83"/>
        <v>0</v>
      </c>
      <c r="G215" s="136">
        <f t="shared" si="83"/>
        <v>0</v>
      </c>
      <c r="H215" s="136">
        <f t="shared" si="83"/>
        <v>0</v>
      </c>
      <c r="I215" s="176">
        <f t="shared" si="83"/>
        <v>0</v>
      </c>
    </row>
    <row r="216" spans="1:9" s="2" customFormat="1" ht="16.5" hidden="1">
      <c r="A216" s="141"/>
      <c r="B216" s="40"/>
      <c r="C216" s="47">
        <f>IF(C215&lt;100,100,C215)</f>
        <v>100</v>
      </c>
      <c r="D216" s="47">
        <f t="shared" ref="D216:I216" si="84">IF(D215&lt;100,100,D215)</f>
        <v>100</v>
      </c>
      <c r="E216" s="47">
        <f t="shared" si="84"/>
        <v>100</v>
      </c>
      <c r="F216" s="47">
        <f t="shared" si="84"/>
        <v>100</v>
      </c>
      <c r="G216" s="47">
        <f t="shared" si="84"/>
        <v>100</v>
      </c>
      <c r="H216" s="47">
        <f t="shared" si="84"/>
        <v>100</v>
      </c>
      <c r="I216" s="116">
        <f t="shared" si="84"/>
        <v>100</v>
      </c>
    </row>
    <row r="217" spans="1:9" s="2" customFormat="1" ht="16.5" hidden="1">
      <c r="A217" s="141"/>
      <c r="B217" s="40"/>
      <c r="C217" s="47">
        <f>IF(C215&lt;200,200,C215)</f>
        <v>200</v>
      </c>
      <c r="D217" s="47">
        <f t="shared" ref="D217:I217" si="85">IF(D215&lt;200,200,D215)</f>
        <v>200</v>
      </c>
      <c r="E217" s="47">
        <f t="shared" si="85"/>
        <v>200</v>
      </c>
      <c r="F217" s="47">
        <f t="shared" si="85"/>
        <v>200</v>
      </c>
      <c r="G217" s="47">
        <f t="shared" si="85"/>
        <v>200</v>
      </c>
      <c r="H217" s="47">
        <f t="shared" si="85"/>
        <v>200</v>
      </c>
      <c r="I217" s="116">
        <f t="shared" si="85"/>
        <v>200</v>
      </c>
    </row>
    <row r="218" spans="1:9" s="2" customFormat="1" ht="33" hidden="1" customHeight="1">
      <c r="A218" s="124" t="s">
        <v>307</v>
      </c>
      <c r="B218" s="22"/>
      <c r="C218" s="36">
        <f>Eingabetabelle!D68+Eingabetabelle!D73</f>
        <v>0</v>
      </c>
      <c r="D218" s="1034"/>
      <c r="E218" s="36"/>
      <c r="F218" s="36"/>
      <c r="G218" s="36"/>
      <c r="H218" s="36"/>
      <c r="I218" s="278"/>
    </row>
    <row r="219" spans="1:9" ht="20.100000000000001" hidden="1" customHeight="1" thickBot="1">
      <c r="A219" s="1213" t="s">
        <v>77</v>
      </c>
      <c r="B219" s="44"/>
      <c r="C219" s="1511">
        <f>Eingabetabelle!D81</f>
        <v>0</v>
      </c>
      <c r="D219" s="1511">
        <f>Eingabetabelle!E81</f>
        <v>0</v>
      </c>
      <c r="E219" s="921"/>
      <c r="F219" s="1289"/>
      <c r="G219" s="1289"/>
      <c r="H219" s="1289"/>
      <c r="I219" s="1288"/>
    </row>
    <row r="220" spans="1:9" ht="20.100000000000001" hidden="1" customHeight="1" thickBot="1">
      <c r="A220" s="1860" t="s">
        <v>2385</v>
      </c>
      <c r="B220" s="1861" t="s">
        <v>30</v>
      </c>
      <c r="C220" s="1861" t="str">
        <f>C4</f>
        <v>Antragsteller</v>
      </c>
      <c r="D220" s="1861" t="str">
        <f t="shared" ref="D220:I220" si="86">D4</f>
        <v>Partner(in)</v>
      </c>
      <c r="E220" s="1861" t="str">
        <f t="shared" si="86"/>
        <v>Kind 1</v>
      </c>
      <c r="F220" s="1861" t="str">
        <f t="shared" si="86"/>
        <v>Kind 2</v>
      </c>
      <c r="G220" s="1861" t="str">
        <f t="shared" si="86"/>
        <v>Kind 3</v>
      </c>
      <c r="H220" s="1861" t="str">
        <f t="shared" si="86"/>
        <v>Kind 4</v>
      </c>
      <c r="I220" s="1862" t="str">
        <f t="shared" si="86"/>
        <v>Kind 5</v>
      </c>
    </row>
    <row r="221" spans="1:9" s="2" customFormat="1" ht="20.100000000000001" hidden="1" customHeight="1">
      <c r="A221" s="1214" t="s">
        <v>215</v>
      </c>
      <c r="B221" s="1215"/>
      <c r="C221" s="1515"/>
      <c r="D221" s="1515"/>
      <c r="E221" s="1515"/>
      <c r="F221" s="1515"/>
      <c r="G221" s="1515"/>
      <c r="H221" s="1515"/>
      <c r="I221" s="1521"/>
    </row>
    <row r="222" spans="1:9" s="2" customFormat="1" ht="20.100000000000001" hidden="1" customHeight="1">
      <c r="A222" s="79" t="s">
        <v>216</v>
      </c>
      <c r="B222" s="710"/>
      <c r="C222" s="25"/>
      <c r="D222" s="25"/>
      <c r="E222" s="25"/>
      <c r="F222" s="25"/>
      <c r="G222" s="25"/>
      <c r="H222" s="25"/>
      <c r="I222" s="275"/>
    </row>
    <row r="223" spans="1:9" s="2" customFormat="1" ht="20.100000000000001" hidden="1" customHeight="1">
      <c r="A223" s="79"/>
      <c r="B223" s="710"/>
      <c r="C223" s="663">
        <f>IF(C222="1. PV",C33*30%,IF(C222="2. PV",C33*60%,IF(C222="3. PV",A!C149,0)))</f>
        <v>0</v>
      </c>
      <c r="D223" s="663">
        <f>IF(D222="1. PV",D33*30%,IF(D222="2. PV",D33*60%,IF(D222="3. PV",A!D149,0)))</f>
        <v>0</v>
      </c>
      <c r="E223" s="663">
        <f>IF(E222="1. PV",E33*30%,IF(E222="2. PV",E33*60%,IF(E222="3. PV",A!E149,0)))</f>
        <v>0</v>
      </c>
      <c r="F223" s="659"/>
      <c r="G223" s="659"/>
      <c r="H223" s="659"/>
      <c r="I223" s="712"/>
    </row>
    <row r="224" spans="1:9" s="2" customFormat="1" ht="20.100000000000001" hidden="1" customHeight="1">
      <c r="A224" s="79"/>
      <c r="B224" s="710"/>
      <c r="C224" s="663">
        <f>IF(C222="1. PV",A!C164,IF(C222="2. PV",A!C149,IF(C222="3. PV",A!C149,0)))</f>
        <v>0</v>
      </c>
      <c r="D224" s="663">
        <f>IF(D222="1. PV",A!D164,IF(D222="2. PV",A!D149,IF(D222="3. PV",A!D149,0)))</f>
        <v>0</v>
      </c>
      <c r="E224" s="663">
        <f>IF(E222="1. PV",A!E164,IF(E222="2. PV",A!E149,IF(E222="3. PV",A!E149,0)))</f>
        <v>0</v>
      </c>
      <c r="F224" s="663">
        <f>IF(F222="1. PV",A!F164,IF(F222="2. PV",A!F149,IF(F222="3. PV",A!F149,0)))</f>
        <v>0</v>
      </c>
      <c r="G224" s="663">
        <f>IF(G222="1. PV",A!G164,IF(G222="2. PV",A!G149,IF(G222="3. PV",A!G149,0)))</f>
        <v>0</v>
      </c>
      <c r="H224" s="663">
        <f>IF(H222="1. PV",A!H164,IF(H222="2. PV",A!H149,IF(H222="3. PV",A!H149,0)))</f>
        <v>0</v>
      </c>
      <c r="I224" s="711">
        <f>IF(I222="1. PV",A!I164,IF(I222="2. PV",A!I149,IF(I222="3. PV",A!I149,0)))</f>
        <v>0</v>
      </c>
    </row>
    <row r="225" spans="1:9" s="2" customFormat="1" ht="20.100000000000001" hidden="1" customHeight="1">
      <c r="A225" s="79"/>
      <c r="B225" s="710"/>
      <c r="C225" s="663">
        <f>IF(C226="unter 25",C224,C223)</f>
        <v>0</v>
      </c>
      <c r="D225" s="663">
        <f t="shared" ref="D225:E225" si="87">IF(D226="unter 25",D224,D223)</f>
        <v>0</v>
      </c>
      <c r="E225" s="663">
        <f t="shared" si="87"/>
        <v>0</v>
      </c>
      <c r="F225" s="659">
        <f>F224</f>
        <v>0</v>
      </c>
      <c r="G225" s="659">
        <f t="shared" ref="G225:I225" si="88">G224</f>
        <v>0</v>
      </c>
      <c r="H225" s="659">
        <f t="shared" si="88"/>
        <v>0</v>
      </c>
      <c r="I225" s="712">
        <f t="shared" si="88"/>
        <v>0</v>
      </c>
    </row>
    <row r="226" spans="1:9" s="2" customFormat="1" ht="20.100000000000001" hidden="1" customHeight="1" thickBot="1">
      <c r="A226" s="123" t="s">
        <v>268</v>
      </c>
      <c r="B226" s="4"/>
      <c r="C226" s="1516"/>
      <c r="D226" s="1516"/>
      <c r="E226" s="1516"/>
      <c r="F226" s="1290"/>
      <c r="G226" s="1291"/>
      <c r="H226" s="1291"/>
      <c r="I226" s="1292"/>
    </row>
    <row r="227" spans="1:9" s="2" customFormat="1" ht="20.100000000000001" hidden="1" customHeight="1">
      <c r="A227" s="1863" t="s">
        <v>2386</v>
      </c>
      <c r="B227" s="1864"/>
      <c r="C227" s="1865"/>
      <c r="D227" s="1865"/>
      <c r="E227" s="1865"/>
      <c r="F227" s="1865"/>
      <c r="G227" s="1865"/>
      <c r="H227" s="1865"/>
      <c r="I227" s="1866"/>
    </row>
    <row r="228" spans="1:9" s="2" customFormat="1" ht="20.100000000000001" hidden="1" customHeight="1" thickBot="1">
      <c r="A228" s="123" t="s">
        <v>2387</v>
      </c>
      <c r="B228" s="1867">
        <f>SUM(C228:I228)</f>
        <v>0</v>
      </c>
      <c r="C228" s="1868"/>
      <c r="D228" s="1868"/>
      <c r="E228" s="1868"/>
      <c r="F228" s="1868"/>
      <c r="G228" s="1868"/>
      <c r="H228" s="1868"/>
      <c r="I228" s="1869"/>
    </row>
    <row r="229" spans="1:9" s="2" customFormat="1" ht="20.100000000000001" hidden="1" customHeight="1">
      <c r="A229" s="1473" t="s">
        <v>2270</v>
      </c>
      <c r="B229" s="1215"/>
      <c r="C229" s="1474" t="b">
        <v>0</v>
      </c>
      <c r="D229" s="1474" t="b">
        <v>1</v>
      </c>
      <c r="E229" s="1475"/>
      <c r="F229" s="1475"/>
      <c r="G229" s="1475"/>
      <c r="H229" s="1475"/>
      <c r="I229" s="1476"/>
    </row>
    <row r="230" spans="1:9" s="2" customFormat="1" ht="20.100000000000001" hidden="1" customHeight="1">
      <c r="A230" s="1477" t="s">
        <v>234</v>
      </c>
      <c r="B230" s="1471"/>
      <c r="C230" s="1472" t="s">
        <v>235</v>
      </c>
      <c r="D230" s="1472" t="s">
        <v>236</v>
      </c>
      <c r="E230" s="1472" t="s">
        <v>237</v>
      </c>
      <c r="F230" s="1472" t="s">
        <v>239</v>
      </c>
      <c r="G230" s="1472" t="s">
        <v>240</v>
      </c>
      <c r="H230" s="751"/>
      <c r="I230" s="1016"/>
    </row>
    <row r="231" spans="1:9" s="2" customFormat="1" ht="20.100000000000001" hidden="1" customHeight="1" thickBot="1">
      <c r="A231" s="94" t="s">
        <v>238</v>
      </c>
      <c r="B231" s="4"/>
      <c r="C231" s="39"/>
      <c r="D231" s="1478"/>
      <c r="E231" s="1479">
        <f>F2</f>
        <v>43373</v>
      </c>
      <c r="F231" s="1480">
        <f>IF(E231-D231+1&lt;30,E231-D231+1,30)</f>
        <v>30</v>
      </c>
      <c r="G231" s="1481">
        <f>C231/30*F231</f>
        <v>0</v>
      </c>
      <c r="H231" s="1291"/>
      <c r="I231" s="1292"/>
    </row>
    <row r="232" spans="1:9" s="2" customFormat="1" ht="20.100000000000001" hidden="1" customHeight="1">
      <c r="A232" s="1473"/>
      <c r="B232" s="570"/>
      <c r="C232" s="1475"/>
      <c r="D232" s="1475"/>
      <c r="E232" s="1475"/>
      <c r="F232" s="1475"/>
      <c r="G232" s="1475"/>
      <c r="H232" s="1475"/>
      <c r="I232" s="1476"/>
    </row>
    <row r="233" spans="1:9" s="2" customFormat="1" ht="20.100000000000001" hidden="1" customHeight="1">
      <c r="A233" s="1494" t="s">
        <v>43</v>
      </c>
      <c r="B233" s="64"/>
      <c r="C233" s="1495">
        <f>VLOOKUP(E2,Bedarfssätze!B7:C19,2)</f>
        <v>416</v>
      </c>
      <c r="D233" s="1495">
        <f>VLOOKUP(E2,Bedarfssätze!E7:F19,2)</f>
        <v>374</v>
      </c>
      <c r="E233" s="1495">
        <f>VLOOKUP(E2,Bedarfssätze!H7:I19,2)</f>
        <v>332</v>
      </c>
      <c r="F233" s="1495">
        <f>VLOOKUP(E2,Bedarfssätze!B25:C37,2)</f>
        <v>316</v>
      </c>
      <c r="G233" s="1495">
        <f>VLOOKUP(E2,Bedarfssätze!E25:F37,2)</f>
        <v>296</v>
      </c>
      <c r="H233" s="1495">
        <f>VLOOKUP(E2,Bedarfssätze!H25:I37,2)</f>
        <v>240</v>
      </c>
      <c r="I233" s="1104"/>
    </row>
    <row r="234" spans="1:9" s="2" customFormat="1" ht="20.100000000000001" hidden="1" customHeight="1">
      <c r="A234" s="1483"/>
      <c r="B234" s="183"/>
      <c r="C234" s="183"/>
      <c r="D234" s="183"/>
      <c r="E234" s="183"/>
      <c r="F234" s="183"/>
      <c r="G234" s="183"/>
      <c r="H234" s="183"/>
      <c r="I234" s="1496"/>
    </row>
    <row r="235" spans="1:9" s="5" customFormat="1" ht="20.100000000000001" hidden="1" customHeight="1">
      <c r="A235" s="2100" t="s">
        <v>356</v>
      </c>
      <c r="B235" s="2076">
        <f>IF(Berechnung!B161&gt;0,Berechnung!B161,"0,00 €")</f>
        <v>416</v>
      </c>
      <c r="C235" s="1482">
        <f>IF(Berechnung!B161&gt;0,Berechnung!B161,0)</f>
        <v>416</v>
      </c>
      <c r="D235" s="2062" t="s">
        <v>269</v>
      </c>
      <c r="E235" s="2063"/>
      <c r="F235" s="64"/>
      <c r="G235" s="1962" t="str">
        <f>IF(AND(C241&lt;=0,C238&gt;C235),"Wohngeld beantragen!",IF(AND(C238&lt;=0,C241&gt;C235),"Kinderzuschlag beantragen!",IF(C238+C241&gt;C235,"Wohngeld und Kinderzuschlag beantragen!","")))</f>
        <v/>
      </c>
      <c r="H235" s="2093"/>
      <c r="I235" s="2094"/>
    </row>
    <row r="236" spans="1:9" s="5" customFormat="1" ht="20.100000000000001" hidden="1" customHeight="1">
      <c r="A236" s="2101"/>
      <c r="B236" s="2040"/>
      <c r="C236" s="64"/>
      <c r="D236" s="2064"/>
      <c r="E236" s="2065"/>
      <c r="F236" s="64"/>
      <c r="G236" s="2093"/>
      <c r="H236" s="2093"/>
      <c r="I236" s="2094"/>
    </row>
    <row r="237" spans="1:9" s="2" customFormat="1" ht="20.100000000000001" hidden="1" customHeight="1">
      <c r="A237" s="1483"/>
      <c r="B237" s="64"/>
      <c r="C237" s="64"/>
      <c r="D237" s="64"/>
      <c r="E237" s="64"/>
      <c r="F237" s="64"/>
      <c r="G237" s="2093"/>
      <c r="H237" s="2093"/>
      <c r="I237" s="2094"/>
    </row>
    <row r="238" spans="1:9" s="2" customFormat="1" ht="20.100000000000001" hidden="1" customHeight="1">
      <c r="A238" s="1484" t="s">
        <v>2272</v>
      </c>
      <c r="B238" s="2078" t="str">
        <f>IF(Wohngeld!B56&gt;0,Wohngeld!B56,"0,00 €")</f>
        <v>0,00 €</v>
      </c>
      <c r="C238" s="1482">
        <f>IF(Wohngeld!B58&gt;0,Wohngeld!B58,0)</f>
        <v>0</v>
      </c>
      <c r="D238" s="2085" t="s">
        <v>269</v>
      </c>
      <c r="E238" s="2086"/>
      <c r="F238" s="64"/>
      <c r="G238" s="2093"/>
      <c r="H238" s="2093"/>
      <c r="I238" s="2094"/>
    </row>
    <row r="239" spans="1:9" s="2" customFormat="1" ht="20.100000000000001" hidden="1" customHeight="1">
      <c r="A239" s="1485" t="s">
        <v>2267</v>
      </c>
      <c r="B239" s="2079"/>
      <c r="C239" s="1105"/>
      <c r="D239" s="2087"/>
      <c r="E239" s="2088"/>
      <c r="F239" s="64"/>
      <c r="G239" s="1486"/>
      <c r="H239" s="1486"/>
      <c r="I239" s="1487"/>
    </row>
    <row r="240" spans="1:9" s="2" customFormat="1" ht="20.100000000000001" hidden="1" customHeight="1">
      <c r="A240" s="1483"/>
      <c r="B240" s="64"/>
      <c r="C240" s="1105"/>
      <c r="D240" s="64"/>
      <c r="E240" s="64"/>
      <c r="F240" s="64"/>
      <c r="G240" s="1962">
        <f>IF(AND($B$195&lt;1,Berechnung!D225&gt;0),"UVG-Anspruch für Kinder ab        12 Jahren prüfen               (Elternteil überschreitet Mindesteinkommensgrenze)!",IF(AND($B$195&lt;1,Berechnung!D226&gt;0),"UVG-Anspruch für Kinder ab       12 Jahren prüfen (Kind kann ggf.      mit UVG Hilfebedürftigkeit vermeiden)!",IF(AND($B$195&lt;1,Berechnung!D227&gt;0),"UVG-Anspruch für Kinder ab           12 Jahren prüfen                              (Kind bezieht keine SGB II-Leistungen)!",0)))</f>
        <v>0</v>
      </c>
      <c r="H240" s="2095"/>
      <c r="I240" s="2096"/>
    </row>
    <row r="241" spans="1:10" s="2" customFormat="1" ht="20.100000000000001" hidden="1" customHeight="1">
      <c r="A241" s="2102" t="s">
        <v>2271</v>
      </c>
      <c r="B241" s="2077" t="str">
        <f>IF(Kinderzuschlag!B193&gt;0,Kinderzuschlag!B193,"0,00 €")</f>
        <v>0,00 €</v>
      </c>
      <c r="C241" s="1482">
        <f>IF(Kinderzuschlag!C193&gt;0,Kinderzuschlag!C193,0)</f>
        <v>0</v>
      </c>
      <c r="D241" s="2089" t="s">
        <v>269</v>
      </c>
      <c r="E241" s="2090"/>
      <c r="F241" s="64"/>
      <c r="G241" s="2095"/>
      <c r="H241" s="2095"/>
      <c r="I241" s="2096"/>
    </row>
    <row r="242" spans="1:10" s="2" customFormat="1" ht="20.100000000000001" hidden="1" customHeight="1">
      <c r="A242" s="2103"/>
      <c r="B242" s="2040"/>
      <c r="C242" s="64"/>
      <c r="D242" s="2091"/>
      <c r="E242" s="2092"/>
      <c r="F242" s="64"/>
      <c r="G242" s="2095"/>
      <c r="H242" s="2095"/>
      <c r="I242" s="2096"/>
    </row>
    <row r="243" spans="1:10" s="2" customFormat="1" ht="20.100000000000001" hidden="1" customHeight="1">
      <c r="A243" s="1483"/>
      <c r="B243" s="64"/>
      <c r="C243" s="64"/>
      <c r="D243" s="64"/>
      <c r="E243" s="64"/>
      <c r="F243" s="64"/>
      <c r="G243" s="64"/>
      <c r="H243" s="64"/>
      <c r="I243" s="1104"/>
    </row>
    <row r="244" spans="1:10" s="2" customFormat="1" ht="20.100000000000001" hidden="1" customHeight="1">
      <c r="A244" s="1483"/>
      <c r="B244" s="64"/>
      <c r="C244" s="64"/>
      <c r="D244" s="64"/>
      <c r="E244" s="64"/>
      <c r="F244" s="64"/>
      <c r="G244" s="64"/>
      <c r="H244" s="64"/>
      <c r="I244" s="1104"/>
    </row>
    <row r="245" spans="1:10" ht="20.100000000000001" hidden="1" customHeight="1">
      <c r="A245" s="1497"/>
      <c r="B245" s="1498" t="s">
        <v>23</v>
      </c>
      <c r="C245" s="1495">
        <f>VLOOKUP($E$2,Bedarfssätze!B90:C94,2)</f>
        <v>194</v>
      </c>
      <c r="D245" s="1495">
        <f>VLOOKUP($E$2,Bedarfssätze!E90:F94,2)</f>
        <v>194</v>
      </c>
      <c r="E245" s="1495">
        <f>VLOOKUP($E$2,Bedarfssätze!H90:I94,2)</f>
        <v>196</v>
      </c>
      <c r="F245" s="1495">
        <f>VLOOKUP($E$2,Bedarfssätze!B99:C103,2)</f>
        <v>203.25</v>
      </c>
      <c r="G245" s="1495">
        <f>VLOOKUP($E$2,Bedarfssätze!E99:F103,2)</f>
        <v>207.6</v>
      </c>
      <c r="H245" s="1499"/>
      <c r="I245" s="1500"/>
    </row>
    <row r="246" spans="1:10" ht="20.100000000000001" hidden="1" customHeight="1">
      <c r="A246" s="1497"/>
      <c r="B246" s="1498" t="s">
        <v>355</v>
      </c>
      <c r="C246" s="1495">
        <f>VLOOKUP($E$2,Bedarfssätze!B112:C118,2)</f>
        <v>154</v>
      </c>
      <c r="D246" s="1495">
        <f>VLOOKUP($E$2,Bedarfssätze!E112:F118,2)</f>
        <v>205</v>
      </c>
      <c r="E246" s="1495">
        <f>VLOOKUP($E$2,Bedarfssätze!H112:I118,2)</f>
        <v>273</v>
      </c>
      <c r="F246" s="1499"/>
      <c r="G246" s="1499"/>
      <c r="H246" s="1499"/>
      <c r="I246" s="1500"/>
    </row>
    <row r="247" spans="1:10" ht="20.100000000000001" hidden="1" customHeight="1" thickBot="1">
      <c r="A247" s="1501"/>
      <c r="B247" s="1502"/>
      <c r="C247" s="1503"/>
      <c r="D247" s="1503"/>
      <c r="E247" s="1503"/>
      <c r="F247" s="1503"/>
      <c r="G247" s="1503"/>
      <c r="H247" s="1503"/>
      <c r="I247" s="1504"/>
    </row>
    <row r="248" spans="1:10" ht="22.5" customHeight="1">
      <c r="A248" s="2080" t="s">
        <v>310</v>
      </c>
      <c r="B248" s="2081"/>
      <c r="C248" s="2081"/>
      <c r="D248" s="2081"/>
      <c r="E248" s="2081"/>
      <c r="F248" s="2081"/>
      <c r="G248" s="2081"/>
      <c r="H248" s="2081"/>
      <c r="I248" s="2082"/>
    </row>
    <row r="249" spans="1:10" ht="20.100000000000001" customHeight="1">
      <c r="A249" s="1847"/>
      <c r="B249" s="1847"/>
      <c r="C249" s="1847"/>
      <c r="D249" s="1847"/>
      <c r="E249" s="1847"/>
      <c r="F249" s="1848"/>
      <c r="G249" s="1848"/>
      <c r="H249" s="1848"/>
      <c r="I249" s="1849"/>
      <c r="J249" s="675"/>
    </row>
    <row r="250" spans="1:10" ht="20.100000000000001" customHeight="1">
      <c r="A250" s="990"/>
      <c r="B250" s="1852" t="s">
        <v>30</v>
      </c>
      <c r="C250" s="981" t="str">
        <f t="shared" ref="C250:I250" si="89">C4</f>
        <v>Antragsteller</v>
      </c>
      <c r="D250" s="981" t="str">
        <f t="shared" si="89"/>
        <v>Partner(in)</v>
      </c>
      <c r="E250" s="981" t="str">
        <f t="shared" si="89"/>
        <v>Kind 1</v>
      </c>
      <c r="F250" s="981" t="str">
        <f t="shared" si="89"/>
        <v>Kind 2</v>
      </c>
      <c r="G250" s="981" t="str">
        <f t="shared" si="89"/>
        <v>Kind 3</v>
      </c>
      <c r="H250" s="981" t="str">
        <f t="shared" si="89"/>
        <v>Kind 4</v>
      </c>
      <c r="I250" s="1017" t="str">
        <f t="shared" si="89"/>
        <v>Kind 5</v>
      </c>
      <c r="J250" s="675"/>
    </row>
    <row r="251" spans="1:10" ht="20.100000000000001" customHeight="1">
      <c r="A251" s="983" t="s">
        <v>1931</v>
      </c>
      <c r="B251" s="2066" t="str">
        <f>Eingabetabelle!B45</f>
        <v>Nordrhein-Westfalen</v>
      </c>
      <c r="C251" s="2067"/>
      <c r="D251" s="1157">
        <f>VLOOKUP(B251,A305:B320,2)</f>
        <v>10</v>
      </c>
      <c r="E251" s="751"/>
      <c r="F251" s="751"/>
      <c r="G251" s="751"/>
      <c r="H251" s="751"/>
      <c r="I251" s="1016"/>
      <c r="J251" s="675"/>
    </row>
    <row r="252" spans="1:10" ht="20.100000000000001" customHeight="1">
      <c r="A252" s="983" t="s">
        <v>337</v>
      </c>
      <c r="B252" s="2068" t="str">
        <f>Eingabetabelle!B46</f>
        <v>Köln, Stadt</v>
      </c>
      <c r="C252" s="2069"/>
      <c r="D252" s="1223"/>
      <c r="E252" s="1156" t="s">
        <v>1932</v>
      </c>
      <c r="F252" s="1164" t="str">
        <f>Eingabetabelle!F46</f>
        <v>VI</v>
      </c>
      <c r="G252" s="2070" t="s">
        <v>2244</v>
      </c>
      <c r="H252" s="2071"/>
      <c r="I252" s="2072"/>
    </row>
    <row r="253" spans="1:10" ht="20.100000000000001" customHeight="1">
      <c r="A253" s="983" t="s">
        <v>309</v>
      </c>
      <c r="B253" s="1202" t="str">
        <f>Eingabetabelle!C47</f>
        <v>Miete</v>
      </c>
      <c r="C253" s="978"/>
      <c r="D253" s="978"/>
      <c r="E253" s="978"/>
      <c r="F253" s="978"/>
      <c r="G253" s="2073"/>
      <c r="H253" s="2074"/>
      <c r="I253" s="2075"/>
    </row>
    <row r="254" spans="1:10" ht="20.100000000000001" customHeight="1">
      <c r="A254" s="983" t="str">
        <f>IF($B$253="Miete","tatsächliche monatliche Bruttokaltmiete",0)</f>
        <v>tatsächliche monatliche Bruttokaltmiete</v>
      </c>
      <c r="B254" s="1015">
        <f>IF(B253="Miete",B102+B105+B106-B104-B107,0)</f>
        <v>0</v>
      </c>
      <c r="C254" s="978"/>
      <c r="D254" s="978"/>
      <c r="E254" s="978"/>
      <c r="F254" s="978"/>
      <c r="G254" s="978"/>
      <c r="H254" s="978"/>
      <c r="I254" s="991"/>
    </row>
    <row r="255" spans="1:10" ht="20.100000000000001" customHeight="1">
      <c r="A255" s="983">
        <f>IF($B$253="Eigentum","Wohnfläche",0)</f>
        <v>0</v>
      </c>
      <c r="B255" s="1032">
        <f>Eingabetabelle!C56</f>
        <v>0</v>
      </c>
      <c r="C255" s="978"/>
      <c r="D255" s="978"/>
      <c r="E255" s="978"/>
      <c r="F255" s="978"/>
      <c r="G255" s="978"/>
      <c r="H255" s="978"/>
      <c r="I255" s="991"/>
    </row>
    <row r="256" spans="1:10" ht="20.100000000000001" customHeight="1">
      <c r="A256" s="983">
        <f>IF($B$253="Eigentum","tatsächliche monatliche Zins- und Tilgungsrate",0)</f>
        <v>0</v>
      </c>
      <c r="B256" s="1015">
        <f>IF(B253="Eigentum",B102,0)</f>
        <v>0</v>
      </c>
      <c r="C256" s="2055">
        <f>IF(AND(B102=B256,B253="Eigentum"),"Tilgungsrate dazurechnen!",0)</f>
        <v>0</v>
      </c>
      <c r="D256" s="2056"/>
      <c r="E256" s="2056"/>
      <c r="F256" s="978"/>
      <c r="G256" s="978"/>
      <c r="H256" s="978"/>
      <c r="I256" s="991"/>
    </row>
    <row r="257" spans="1:9" ht="20.100000000000001" customHeight="1">
      <c r="A257" s="983">
        <f>IF($B$253="Eigentum","monatliche Grundsteuer",0)</f>
        <v>0</v>
      </c>
      <c r="B257" s="1015">
        <f>Eingabetabelle!C50</f>
        <v>0</v>
      </c>
      <c r="C257" s="978"/>
      <c r="D257" s="978"/>
      <c r="E257" s="978"/>
      <c r="F257" s="978"/>
      <c r="G257" s="978"/>
      <c r="H257" s="978"/>
      <c r="I257" s="991"/>
    </row>
    <row r="258" spans="1:9" ht="20.100000000000001" customHeight="1">
      <c r="A258" s="983">
        <f>IF($B$253="Eigentum","Garage/PKW-Stellplatz vorhanden",0)</f>
        <v>0</v>
      </c>
      <c r="B258" s="1033"/>
      <c r="C258" s="978"/>
      <c r="D258" s="978"/>
      <c r="E258" s="978"/>
      <c r="F258" s="978"/>
      <c r="G258" s="978"/>
      <c r="H258" s="978"/>
      <c r="I258" s="991"/>
    </row>
    <row r="259" spans="1:9" ht="9.9499999999999993" customHeight="1">
      <c r="A259" s="1020"/>
      <c r="B259" s="1021"/>
      <c r="C259" s="994"/>
      <c r="D259" s="994"/>
      <c r="E259" s="994"/>
      <c r="F259" s="994"/>
      <c r="G259" s="994"/>
      <c r="H259" s="994"/>
      <c r="I259" s="995"/>
    </row>
    <row r="260" spans="1:9" ht="20.100000000000001" customHeight="1">
      <c r="A260" s="984" t="s">
        <v>311</v>
      </c>
      <c r="B260" s="982">
        <f>SUM(C260:I260)</f>
        <v>0</v>
      </c>
      <c r="C260" s="1034">
        <f t="shared" ref="C260:I260" si="90">IF(C128&gt;450,C128*12,IF(C136&gt;0,C136*12,0))</f>
        <v>0</v>
      </c>
      <c r="D260" s="1034">
        <f t="shared" si="90"/>
        <v>0</v>
      </c>
      <c r="E260" s="1034">
        <f t="shared" si="90"/>
        <v>0</v>
      </c>
      <c r="F260" s="1034">
        <f t="shared" si="90"/>
        <v>0</v>
      </c>
      <c r="G260" s="1034">
        <f t="shared" si="90"/>
        <v>0</v>
      </c>
      <c r="H260" s="1034">
        <f t="shared" si="90"/>
        <v>0</v>
      </c>
      <c r="I260" s="1035">
        <f t="shared" si="90"/>
        <v>0</v>
      </c>
    </row>
    <row r="261" spans="1:9" ht="20.100000000000001" customHeight="1">
      <c r="A261" s="984">
        <f>IF(B260&gt;0,"Werbungskosten (wenn über 1.000 €)",0)</f>
        <v>0</v>
      </c>
      <c r="B261" s="977"/>
      <c r="C261" s="36"/>
      <c r="D261" s="36"/>
      <c r="E261" s="36"/>
      <c r="F261" s="36"/>
      <c r="G261" s="36"/>
      <c r="H261" s="36"/>
      <c r="I261" s="278"/>
    </row>
    <row r="262" spans="1:9" ht="20.100000000000001" customHeight="1">
      <c r="A262" s="984" t="s">
        <v>313</v>
      </c>
      <c r="B262" s="977"/>
      <c r="C262" s="1034">
        <f t="shared" ref="C262:I262" si="91">IF(C128&lt;=450,C128*12,0)</f>
        <v>0</v>
      </c>
      <c r="D262" s="1034">
        <f t="shared" si="91"/>
        <v>0</v>
      </c>
      <c r="E262" s="1034">
        <f t="shared" si="91"/>
        <v>0</v>
      </c>
      <c r="F262" s="1034">
        <f t="shared" si="91"/>
        <v>0</v>
      </c>
      <c r="G262" s="1034">
        <f t="shared" si="91"/>
        <v>0</v>
      </c>
      <c r="H262" s="1034">
        <f t="shared" si="91"/>
        <v>0</v>
      </c>
      <c r="I262" s="1035">
        <f t="shared" si="91"/>
        <v>0</v>
      </c>
    </row>
    <row r="263" spans="1:9" ht="20.100000000000001" customHeight="1">
      <c r="A263" s="984">
        <f>IF(B165&gt;0,"Sachbezug bei Freiwilligendienst lt. Lohnabrechnung",0)</f>
        <v>0</v>
      </c>
      <c r="B263" s="977"/>
      <c r="C263" s="36">
        <f>C165</f>
        <v>0</v>
      </c>
      <c r="D263" s="36">
        <f t="shared" ref="D263:I263" si="92">D165</f>
        <v>0</v>
      </c>
      <c r="E263" s="36">
        <f t="shared" si="92"/>
        <v>0</v>
      </c>
      <c r="F263" s="36">
        <f t="shared" si="92"/>
        <v>0</v>
      </c>
      <c r="G263" s="36">
        <f t="shared" si="92"/>
        <v>0</v>
      </c>
      <c r="H263" s="36">
        <f t="shared" si="92"/>
        <v>0</v>
      </c>
      <c r="I263" s="36">
        <f t="shared" si="92"/>
        <v>0</v>
      </c>
    </row>
    <row r="264" spans="1:9" ht="20.100000000000001" customHeight="1">
      <c r="A264" s="1046"/>
      <c r="B264" s="977"/>
      <c r="C264" s="36">
        <f>IF(OR($A$198="Hinterbliebenenrente",$A$198="Erwerbsminderungsrente"),C198+C198*12.17%,0)</f>
        <v>0</v>
      </c>
      <c r="D264" s="36">
        <f>IF(OR($A$198="Hinterbliebenenrente",$A$198="Erwerbsminderungsrente"),D198+D198*12.17%,0)</f>
        <v>0</v>
      </c>
      <c r="E264" s="36"/>
      <c r="F264" s="36"/>
      <c r="G264" s="36"/>
      <c r="H264" s="36"/>
      <c r="I264" s="278"/>
    </row>
    <row r="265" spans="1:9" ht="20.100000000000001" customHeight="1">
      <c r="A265" s="1046"/>
      <c r="B265" s="977"/>
      <c r="C265" s="36">
        <f>IF(C197&gt;0,C197+C197*12.17%,0)</f>
        <v>0</v>
      </c>
      <c r="D265" s="36">
        <f>IF(D197&gt;0,D197+D197*12.17%,0)</f>
        <v>0</v>
      </c>
      <c r="E265" s="36"/>
      <c r="F265" s="36"/>
      <c r="G265" s="36"/>
      <c r="H265" s="36"/>
      <c r="I265" s="278"/>
    </row>
    <row r="266" spans="1:9" ht="20.100000000000001" customHeight="1">
      <c r="A266" s="984" t="s">
        <v>314</v>
      </c>
      <c r="B266" s="977"/>
      <c r="C266" s="1034">
        <f>C264+C265</f>
        <v>0</v>
      </c>
      <c r="D266" s="1034">
        <f>D264+D265</f>
        <v>0</v>
      </c>
      <c r="E266" s="1034">
        <f>IF(OR($A$198="Hinterbliebenenrente",$A$198="Erwerbsminderungsrente"),E198+E198*12.17%,0)</f>
        <v>0</v>
      </c>
      <c r="F266" s="1034">
        <f>IF(OR($A$198="Hinterbliebenenrente",$A$198="Erwerbsminderungsrente"),F198+F198*12.17%,0)</f>
        <v>0</v>
      </c>
      <c r="G266" s="1034">
        <f>IF(OR($A$198="Hinterbliebenenrente",$A$198="Erwerbsminderungsrente"),G198+G198*12.17%,0)</f>
        <v>0</v>
      </c>
      <c r="H266" s="1034">
        <f>IF(OR($A$198="Hinterbliebenenrente",$A$198="Erwerbsminderungsrente"),H198+H198*12.17%,0)</f>
        <v>0</v>
      </c>
      <c r="I266" s="1035">
        <f>IF(OR($A$198="Hinterbliebenenrente",$A$198="Erwerbsminderungsrente"),I198+I198*12.17%,0)</f>
        <v>0</v>
      </c>
    </row>
    <row r="267" spans="1:9" ht="20.100000000000001" customHeight="1">
      <c r="A267" s="984" t="str">
        <f>IF(A198="Verletztengeld","Brutto-Verletztengeld monatlich",IF(A198="Krankengeld","Brutto-Krankengeld monatlich",0))</f>
        <v>Brutto-Krankengeld monatlich</v>
      </c>
      <c r="B267" s="977"/>
      <c r="C267" s="36">
        <f t="shared" ref="C267:I267" si="93">IF(OR($A$198="Verletztengeld",$A$198="Krankengeld"),C198+C198*13.73%,0)</f>
        <v>0</v>
      </c>
      <c r="D267" s="36">
        <f t="shared" si="93"/>
        <v>0</v>
      </c>
      <c r="E267" s="36">
        <f t="shared" si="93"/>
        <v>0</v>
      </c>
      <c r="F267" s="36">
        <f t="shared" si="93"/>
        <v>0</v>
      </c>
      <c r="G267" s="36">
        <f t="shared" si="93"/>
        <v>0</v>
      </c>
      <c r="H267" s="36">
        <f t="shared" si="93"/>
        <v>0</v>
      </c>
      <c r="I267" s="278">
        <f t="shared" si="93"/>
        <v>0</v>
      </c>
    </row>
    <row r="268" spans="1:9" ht="20.100000000000001" customHeight="1">
      <c r="A268" s="984" t="s">
        <v>315</v>
      </c>
      <c r="B268" s="982">
        <f>SUM(C268:F268)</f>
        <v>0</v>
      </c>
      <c r="C268" s="1034">
        <f>IF(OR($A$180="BAföG",$A$180="Unterhaltsbeitrag nach AFBG"),C180,0)</f>
        <v>0</v>
      </c>
      <c r="D268" s="1034">
        <f>IF(OR($A$180="BAföG",$A$180="Unterhaltsbeitrag nach AFBG"),D180,0)</f>
        <v>0</v>
      </c>
      <c r="E268" s="1034">
        <f>IF(OR($A$180="BAföG",$A$180="Unterhaltsbeitrag nach AFBG"),E180,0)</f>
        <v>0</v>
      </c>
      <c r="F268" s="1034">
        <f>IF(OR($A$180="BAföG",$A$180="Unterhaltsbeitrag nach AFBG"),F180,0)</f>
        <v>0</v>
      </c>
      <c r="G268" s="2057">
        <f>IF(B268&gt;0,"nur Zuschussanteil erfassen!",0)</f>
        <v>0</v>
      </c>
      <c r="H268" s="2058"/>
      <c r="I268" s="2059"/>
    </row>
    <row r="269" spans="1:9" ht="9.9499999999999993" customHeight="1">
      <c r="A269" s="1020"/>
      <c r="B269" s="1026"/>
      <c r="C269" s="1027"/>
      <c r="D269" s="1027"/>
      <c r="E269" s="1027"/>
      <c r="F269" s="1027"/>
      <c r="G269" s="185"/>
      <c r="H269" s="185"/>
      <c r="I269" s="1028"/>
    </row>
    <row r="270" spans="1:9" ht="16.5">
      <c r="A270" s="1815" t="s">
        <v>2372</v>
      </c>
      <c r="B270" s="1816" t="s">
        <v>1</v>
      </c>
      <c r="C270" s="1816" t="s">
        <v>5</v>
      </c>
      <c r="D270" s="1816" t="s">
        <v>6</v>
      </c>
      <c r="E270" s="1816" t="s">
        <v>7</v>
      </c>
      <c r="F270" s="1816" t="s">
        <v>8</v>
      </c>
      <c r="G270" s="1816" t="s">
        <v>9</v>
      </c>
      <c r="H270" s="1816" t="s">
        <v>10</v>
      </c>
      <c r="I270" s="1817" t="s">
        <v>34</v>
      </c>
    </row>
    <row r="271" spans="1:9" ht="20.100000000000001" customHeight="1">
      <c r="A271" s="1201" t="s">
        <v>2258</v>
      </c>
      <c r="B271" s="993"/>
      <c r="C271" s="1025"/>
      <c r="D271" s="1025"/>
      <c r="E271" s="1025"/>
      <c r="F271" s="1025"/>
      <c r="G271" s="1025"/>
      <c r="H271" s="1025"/>
      <c r="I271" s="1024"/>
    </row>
    <row r="272" spans="1:9" ht="20.100000000000001" customHeight="1">
      <c r="A272" s="985" t="s">
        <v>316</v>
      </c>
      <c r="B272" s="977"/>
      <c r="C272" s="658" t="b">
        <v>0</v>
      </c>
      <c r="D272" s="1036" t="b">
        <v>0</v>
      </c>
      <c r="E272" s="1036" t="b">
        <v>0</v>
      </c>
      <c r="F272" s="1036"/>
      <c r="G272" s="1036"/>
      <c r="H272" s="1036"/>
      <c r="I272" s="1037"/>
    </row>
    <row r="273" spans="1:11" ht="20.100000000000001" customHeight="1">
      <c r="A273" s="985" t="s">
        <v>317</v>
      </c>
      <c r="B273" s="977"/>
      <c r="C273" s="1036" t="b">
        <v>0</v>
      </c>
      <c r="D273" s="1036" t="b">
        <v>0</v>
      </c>
      <c r="E273" s="1036" t="b">
        <f t="shared" ref="E273:I273" si="94">IF(OR(E260&gt;0,E266&gt;0,E267&gt;0),TRUE,FALSE)</f>
        <v>0</v>
      </c>
      <c r="F273" s="1036" t="b">
        <f t="shared" si="94"/>
        <v>0</v>
      </c>
      <c r="G273" s="1036" t="b">
        <f t="shared" si="94"/>
        <v>0</v>
      </c>
      <c r="H273" s="1036" t="b">
        <f t="shared" si="94"/>
        <v>0</v>
      </c>
      <c r="I273" s="1037" t="b">
        <f t="shared" si="94"/>
        <v>0</v>
      </c>
    </row>
    <row r="274" spans="1:11" ht="20.100000000000001" customHeight="1">
      <c r="A274" s="985" t="s">
        <v>318</v>
      </c>
      <c r="B274" s="977"/>
      <c r="C274" s="1036" t="b">
        <v>0</v>
      </c>
      <c r="D274" s="1036" t="b">
        <f t="shared" ref="D274:I274" si="95">IF(D260&gt;0,TRUE,FALSE)</f>
        <v>0</v>
      </c>
      <c r="E274" s="1036" t="b">
        <f t="shared" si="95"/>
        <v>0</v>
      </c>
      <c r="F274" s="1036" t="b">
        <f t="shared" si="95"/>
        <v>0</v>
      </c>
      <c r="G274" s="1036" t="b">
        <f t="shared" si="95"/>
        <v>0</v>
      </c>
      <c r="H274" s="1036" t="b">
        <f t="shared" si="95"/>
        <v>0</v>
      </c>
      <c r="I274" s="1037" t="b">
        <f t="shared" si="95"/>
        <v>0</v>
      </c>
    </row>
    <row r="275" spans="1:11" ht="19.5" customHeight="1">
      <c r="A275" s="979"/>
      <c r="B275" s="977"/>
      <c r="C275" s="987">
        <f>IF(AND(C272=TRUE,C273=FALSE,C274=FALSE),10%,IF(AND(C273=TRUE,C272=FALSE,C274=FALSE),10%,IF(AND(C274=TRUE,C272=FALSE,C273=FALSE),10%,IF(AND(C272=TRUE,C273=TRUE,C274=FALSE),20%,IF(AND(C272=TRUE,C274=TRUE,C273=FALSE),20%,IF(AND(C272=TRUE,C273=TRUE,C274=TRUE),30%,IF(AND(C273=TRUE,C274=TRUE),20%,0)))))))</f>
        <v>0</v>
      </c>
      <c r="D275" s="987">
        <f t="shared" ref="D275:I275" si="96">IF(AND(D272=TRUE,D273=FALSE,D274=FALSE),10%,IF(AND(D273=TRUE,D272=FALSE,D274=FALSE),10%,IF(AND(D274=TRUE,D272=FALSE,D273=FALSE),10%,IF(AND(D272=TRUE,D273=TRUE,D274=FALSE),20%,IF(AND(D272=TRUE,D274=TRUE,D273=FALSE),20%,IF(AND(D272=TRUE,D273=TRUE,D274=TRUE),30%,IF(AND(D273=TRUE,D274=TRUE),20%,0)))))))</f>
        <v>0</v>
      </c>
      <c r="E275" s="987">
        <f t="shared" si="96"/>
        <v>0</v>
      </c>
      <c r="F275" s="987">
        <f t="shared" si="96"/>
        <v>0</v>
      </c>
      <c r="G275" s="987">
        <f t="shared" si="96"/>
        <v>0</v>
      </c>
      <c r="H275" s="987">
        <f t="shared" si="96"/>
        <v>0</v>
      </c>
      <c r="I275" s="988">
        <f t="shared" si="96"/>
        <v>0</v>
      </c>
    </row>
    <row r="276" spans="1:11" ht="9.9499999999999993" customHeight="1">
      <c r="A276" s="1020"/>
      <c r="B276" s="1021"/>
      <c r="C276" s="1022"/>
      <c r="D276" s="1022"/>
      <c r="E276" s="1022"/>
      <c r="F276" s="1022"/>
      <c r="G276" s="1022"/>
      <c r="H276" s="1022"/>
      <c r="I276" s="1023"/>
    </row>
    <row r="277" spans="1:11" ht="20.100000000000001" customHeight="1">
      <c r="A277" s="985" t="s">
        <v>319</v>
      </c>
      <c r="B277" s="977"/>
      <c r="C277" s="1036" t="b">
        <v>0</v>
      </c>
      <c r="D277" s="1036" t="b">
        <v>0</v>
      </c>
      <c r="E277" s="1036"/>
      <c r="F277" s="1036"/>
      <c r="G277" s="1036" t="b">
        <v>0</v>
      </c>
      <c r="H277" s="1036"/>
      <c r="I277" s="1037" t="b">
        <v>0</v>
      </c>
    </row>
    <row r="278" spans="1:11" ht="20.100000000000001" customHeight="1">
      <c r="A278" s="985" t="s">
        <v>320</v>
      </c>
      <c r="B278" s="977"/>
      <c r="C278" s="1036" t="b">
        <v>0</v>
      </c>
      <c r="D278" s="1036" t="b">
        <v>0</v>
      </c>
      <c r="E278" s="1036"/>
      <c r="F278" s="1036"/>
      <c r="G278" s="1036" t="b">
        <v>0</v>
      </c>
      <c r="H278" s="1036" t="b">
        <v>0</v>
      </c>
      <c r="I278" s="1037" t="b">
        <v>0</v>
      </c>
    </row>
    <row r="279" spans="1:11" ht="20.100000000000001" customHeight="1">
      <c r="A279" s="168"/>
      <c r="B279" s="157"/>
      <c r="C279" s="989">
        <f>IF(OR(C277=TRUE,C278=TRUE),1500,0)</f>
        <v>0</v>
      </c>
      <c r="D279" s="989">
        <f t="shared" ref="D279:I279" si="97">IF(OR(D277=TRUE,D278=TRUE),1500,0)</f>
        <v>0</v>
      </c>
      <c r="E279" s="989">
        <f t="shared" si="97"/>
        <v>0</v>
      </c>
      <c r="F279" s="989">
        <f t="shared" si="97"/>
        <v>0</v>
      </c>
      <c r="G279" s="989">
        <f t="shared" si="97"/>
        <v>0</v>
      </c>
      <c r="H279" s="989">
        <f t="shared" si="97"/>
        <v>0</v>
      </c>
      <c r="I279" s="992">
        <f t="shared" si="97"/>
        <v>0</v>
      </c>
    </row>
    <row r="280" spans="1:11" ht="20.100000000000001" customHeight="1" thickBot="1">
      <c r="A280" s="986">
        <f>IF(B33&gt;0,"Kinderbetreuungskosten jährlich",0)</f>
        <v>0</v>
      </c>
      <c r="B280" s="980"/>
      <c r="C280" s="1222"/>
      <c r="D280" s="1222"/>
      <c r="E280" s="1029"/>
      <c r="F280" s="1030"/>
      <c r="G280" s="1030"/>
      <c r="H280" s="1030"/>
      <c r="I280" s="1031"/>
    </row>
    <row r="281" spans="1:11" ht="20.100000000000001" customHeight="1">
      <c r="A281" s="978"/>
      <c r="B281" s="978"/>
      <c r="C281" s="185">
        <f>IF(B33&gt;0,MIN(C280*2/3,4000),0)</f>
        <v>0</v>
      </c>
      <c r="D281" s="185">
        <f>IF(B33&gt;0,MIN(D280*2/3,4000),0)</f>
        <v>0</v>
      </c>
      <c r="E281" s="185"/>
      <c r="F281" s="185"/>
      <c r="G281" s="185"/>
      <c r="H281" s="185"/>
      <c r="I281" s="185"/>
    </row>
    <row r="282" spans="1:11" ht="20.100000000000001" customHeight="1">
      <c r="A282" s="1814" t="s">
        <v>2369</v>
      </c>
      <c r="B282" s="978"/>
      <c r="C282" s="978"/>
      <c r="D282" s="978"/>
      <c r="E282" s="978"/>
      <c r="F282" s="978"/>
      <c r="G282" s="978"/>
      <c r="H282" s="978"/>
      <c r="I282" s="978"/>
    </row>
    <row r="283" spans="1:11" ht="20.100000000000001" hidden="1" customHeight="1" thickBot="1">
      <c r="A283" s="978"/>
      <c r="B283" s="978"/>
      <c r="C283" s="978"/>
      <c r="D283" s="978"/>
      <c r="E283" s="978"/>
      <c r="F283" s="978"/>
      <c r="G283" s="978"/>
      <c r="H283" s="978"/>
      <c r="I283" s="978"/>
    </row>
    <row r="284" spans="1:11" ht="20.100000000000001" hidden="1" customHeight="1">
      <c r="A284" s="2045" t="s">
        <v>2257</v>
      </c>
      <c r="B284" s="2046"/>
      <c r="C284" s="2046"/>
      <c r="D284" s="2046"/>
      <c r="E284" s="2046"/>
      <c r="F284" s="2046"/>
      <c r="G284" s="2046"/>
      <c r="H284" s="2046"/>
      <c r="I284" s="2046"/>
      <c r="J284" s="2046"/>
      <c r="K284" s="2047"/>
    </row>
    <row r="285" spans="1:11" ht="20.100000000000001" hidden="1" customHeight="1">
      <c r="A285" s="1165"/>
      <c r="B285" s="2048" t="s">
        <v>2246</v>
      </c>
      <c r="C285" s="2049"/>
      <c r="D285" s="2049"/>
      <c r="E285" s="2050"/>
      <c r="F285" s="2048" t="s">
        <v>2247</v>
      </c>
      <c r="G285" s="2049"/>
      <c r="H285" s="2049"/>
      <c r="I285" s="2050"/>
      <c r="J285" s="2051" t="s">
        <v>2248</v>
      </c>
      <c r="K285" s="2052"/>
    </row>
    <row r="286" spans="1:11" ht="20.100000000000001" hidden="1" customHeight="1">
      <c r="A286" s="1166" t="s">
        <v>2249</v>
      </c>
      <c r="B286" s="1167" t="s">
        <v>2250</v>
      </c>
      <c r="C286" s="1168" t="s">
        <v>2251</v>
      </c>
      <c r="D286" s="1169" t="s">
        <v>2252</v>
      </c>
      <c r="E286" s="1170" t="s">
        <v>2253</v>
      </c>
      <c r="F286" s="1167" t="s">
        <v>2250</v>
      </c>
      <c r="G286" s="1169" t="s">
        <v>2251</v>
      </c>
      <c r="H286" s="1169" t="s">
        <v>2252</v>
      </c>
      <c r="I286" s="1171" t="s">
        <v>2253</v>
      </c>
      <c r="J286" s="1167" t="s">
        <v>2250</v>
      </c>
      <c r="K286" s="1171" t="s">
        <v>2253</v>
      </c>
    </row>
    <row r="287" spans="1:11" ht="20.100000000000001" hidden="1" customHeight="1">
      <c r="A287" s="1172">
        <f>DATE(YEAR(E2), MONTH(E2)-1,1)</f>
        <v>43313</v>
      </c>
      <c r="B287" s="1195"/>
      <c r="C287" s="1196"/>
      <c r="D287" s="1196"/>
      <c r="E287" s="1173">
        <f t="shared" ref="E287:E298" si="98">IF(AND(B287 = 0, C287 = 0, D287 = 0), 0, B287-C287-D287)</f>
        <v>0</v>
      </c>
      <c r="F287" s="1195"/>
      <c r="G287" s="1196"/>
      <c r="H287" s="1196"/>
      <c r="I287" s="1174">
        <f t="shared" ref="I287:I298" si="99">IF(AND(F287 = 0, G287 = 0, H287 = 0), 0, F287-G287-H287)</f>
        <v>0</v>
      </c>
      <c r="J287" s="1175">
        <f t="shared" ref="J287:J298" si="100">B287-C287+F287-G287</f>
        <v>0</v>
      </c>
      <c r="K287" s="1176">
        <f t="shared" ref="K287:K298" si="101">E287+I287</f>
        <v>0</v>
      </c>
    </row>
    <row r="288" spans="1:11" ht="20.100000000000001" hidden="1" customHeight="1">
      <c r="A288" s="1172">
        <f>DATE(YEAR(A287), MONTH(A287)-1, 1)</f>
        <v>43282</v>
      </c>
      <c r="B288" s="1195"/>
      <c r="C288" s="1196"/>
      <c r="D288" s="1196"/>
      <c r="E288" s="1173">
        <f t="shared" si="98"/>
        <v>0</v>
      </c>
      <c r="F288" s="1195"/>
      <c r="G288" s="1196"/>
      <c r="H288" s="1196"/>
      <c r="I288" s="1174">
        <f t="shared" si="99"/>
        <v>0</v>
      </c>
      <c r="J288" s="1175">
        <f t="shared" si="100"/>
        <v>0</v>
      </c>
      <c r="K288" s="1176">
        <f t="shared" si="101"/>
        <v>0</v>
      </c>
    </row>
    <row r="289" spans="1:11" ht="20.100000000000001" hidden="1" customHeight="1">
      <c r="A289" s="1172">
        <f t="shared" ref="A289:A298" si="102">DATE(YEAR(A288), MONTH(A288)-1, 1)</f>
        <v>43252</v>
      </c>
      <c r="B289" s="1195"/>
      <c r="C289" s="1196"/>
      <c r="D289" s="1196"/>
      <c r="E289" s="1173">
        <f t="shared" si="98"/>
        <v>0</v>
      </c>
      <c r="F289" s="1195"/>
      <c r="G289" s="1196"/>
      <c r="H289" s="1196"/>
      <c r="I289" s="1174">
        <f t="shared" si="99"/>
        <v>0</v>
      </c>
      <c r="J289" s="1175">
        <f t="shared" si="100"/>
        <v>0</v>
      </c>
      <c r="K289" s="1176">
        <f t="shared" si="101"/>
        <v>0</v>
      </c>
    </row>
    <row r="290" spans="1:11" ht="20.100000000000001" hidden="1" customHeight="1">
      <c r="A290" s="1172">
        <f t="shared" si="102"/>
        <v>43221</v>
      </c>
      <c r="B290" s="1195"/>
      <c r="C290" s="1196"/>
      <c r="D290" s="1196"/>
      <c r="E290" s="1177">
        <f t="shared" si="98"/>
        <v>0</v>
      </c>
      <c r="F290" s="1195"/>
      <c r="G290" s="1196"/>
      <c r="H290" s="1196"/>
      <c r="I290" s="1174">
        <f t="shared" si="99"/>
        <v>0</v>
      </c>
      <c r="J290" s="1175">
        <f t="shared" si="100"/>
        <v>0</v>
      </c>
      <c r="K290" s="1176">
        <f t="shared" si="101"/>
        <v>0</v>
      </c>
    </row>
    <row r="291" spans="1:11" ht="20.100000000000001" hidden="1" customHeight="1">
      <c r="A291" s="1172">
        <f t="shared" si="102"/>
        <v>43191</v>
      </c>
      <c r="B291" s="1195"/>
      <c r="C291" s="1196"/>
      <c r="D291" s="1196"/>
      <c r="E291" s="1173">
        <f t="shared" si="98"/>
        <v>0</v>
      </c>
      <c r="F291" s="1195"/>
      <c r="G291" s="1196"/>
      <c r="H291" s="1196"/>
      <c r="I291" s="1174">
        <f t="shared" si="99"/>
        <v>0</v>
      </c>
      <c r="J291" s="1175">
        <f t="shared" si="100"/>
        <v>0</v>
      </c>
      <c r="K291" s="1176">
        <f t="shared" si="101"/>
        <v>0</v>
      </c>
    </row>
    <row r="292" spans="1:11" ht="20.100000000000001" hidden="1" customHeight="1">
      <c r="A292" s="1172">
        <f t="shared" si="102"/>
        <v>43160</v>
      </c>
      <c r="B292" s="1195"/>
      <c r="C292" s="1196"/>
      <c r="D292" s="1196"/>
      <c r="E292" s="1173">
        <f t="shared" si="98"/>
        <v>0</v>
      </c>
      <c r="F292" s="1195"/>
      <c r="G292" s="1196"/>
      <c r="H292" s="1196"/>
      <c r="I292" s="1174">
        <f t="shared" si="99"/>
        <v>0</v>
      </c>
      <c r="J292" s="1175">
        <f t="shared" si="100"/>
        <v>0</v>
      </c>
      <c r="K292" s="1176">
        <f t="shared" si="101"/>
        <v>0</v>
      </c>
    </row>
    <row r="293" spans="1:11" ht="20.100000000000001" hidden="1" customHeight="1">
      <c r="A293" s="1172">
        <f t="shared" si="102"/>
        <v>43132</v>
      </c>
      <c r="B293" s="1195"/>
      <c r="C293" s="1196"/>
      <c r="D293" s="1196"/>
      <c r="E293" s="1173">
        <f t="shared" si="98"/>
        <v>0</v>
      </c>
      <c r="F293" s="1195"/>
      <c r="G293" s="1196"/>
      <c r="H293" s="1196"/>
      <c r="I293" s="1174">
        <f t="shared" si="99"/>
        <v>0</v>
      </c>
      <c r="J293" s="1175">
        <f t="shared" si="100"/>
        <v>0</v>
      </c>
      <c r="K293" s="1176">
        <f t="shared" si="101"/>
        <v>0</v>
      </c>
    </row>
    <row r="294" spans="1:11" ht="20.100000000000001" hidden="1" customHeight="1">
      <c r="A294" s="1172">
        <f t="shared" si="102"/>
        <v>43101</v>
      </c>
      <c r="B294" s="1195"/>
      <c r="C294" s="1196"/>
      <c r="D294" s="1196"/>
      <c r="E294" s="1173">
        <f t="shared" si="98"/>
        <v>0</v>
      </c>
      <c r="F294" s="1195"/>
      <c r="G294" s="1196"/>
      <c r="H294" s="1196"/>
      <c r="I294" s="1174">
        <f t="shared" si="99"/>
        <v>0</v>
      </c>
      <c r="J294" s="1175">
        <f t="shared" si="100"/>
        <v>0</v>
      </c>
      <c r="K294" s="1176">
        <f t="shared" si="101"/>
        <v>0</v>
      </c>
    </row>
    <row r="295" spans="1:11" ht="20.100000000000001" hidden="1" customHeight="1">
      <c r="A295" s="1172">
        <f t="shared" si="102"/>
        <v>43070</v>
      </c>
      <c r="B295" s="1195"/>
      <c r="C295" s="1196"/>
      <c r="D295" s="1196"/>
      <c r="E295" s="1173">
        <f t="shared" si="98"/>
        <v>0</v>
      </c>
      <c r="F295" s="1195"/>
      <c r="G295" s="1196"/>
      <c r="H295" s="1196"/>
      <c r="I295" s="1174">
        <f t="shared" si="99"/>
        <v>0</v>
      </c>
      <c r="J295" s="1175">
        <f t="shared" si="100"/>
        <v>0</v>
      </c>
      <c r="K295" s="1176">
        <f t="shared" si="101"/>
        <v>0</v>
      </c>
    </row>
    <row r="296" spans="1:11" ht="20.100000000000001" hidden="1" customHeight="1">
      <c r="A296" s="1172">
        <f t="shared" si="102"/>
        <v>43040</v>
      </c>
      <c r="B296" s="1195"/>
      <c r="C296" s="1196"/>
      <c r="D296" s="1196"/>
      <c r="E296" s="1173">
        <f t="shared" si="98"/>
        <v>0</v>
      </c>
      <c r="F296" s="1195"/>
      <c r="G296" s="1196"/>
      <c r="H296" s="1196"/>
      <c r="I296" s="1174">
        <f t="shared" si="99"/>
        <v>0</v>
      </c>
      <c r="J296" s="1175">
        <f t="shared" si="100"/>
        <v>0</v>
      </c>
      <c r="K296" s="1176">
        <f t="shared" si="101"/>
        <v>0</v>
      </c>
    </row>
    <row r="297" spans="1:11" ht="20.100000000000001" hidden="1" customHeight="1">
      <c r="A297" s="1172">
        <f t="shared" si="102"/>
        <v>43009</v>
      </c>
      <c r="B297" s="1195"/>
      <c r="C297" s="1196"/>
      <c r="D297" s="1196"/>
      <c r="E297" s="1173">
        <f t="shared" si="98"/>
        <v>0</v>
      </c>
      <c r="F297" s="1195"/>
      <c r="G297" s="1196"/>
      <c r="H297" s="1196"/>
      <c r="I297" s="1174">
        <f t="shared" si="99"/>
        <v>0</v>
      </c>
      <c r="J297" s="1175">
        <f t="shared" si="100"/>
        <v>0</v>
      </c>
      <c r="K297" s="1176">
        <f t="shared" si="101"/>
        <v>0</v>
      </c>
    </row>
    <row r="298" spans="1:11" ht="20.100000000000001" hidden="1" customHeight="1" thickBot="1">
      <c r="A298" s="1172">
        <f t="shared" si="102"/>
        <v>42979</v>
      </c>
      <c r="B298" s="1197"/>
      <c r="C298" s="1198"/>
      <c r="D298" s="1198"/>
      <c r="E298" s="1178">
        <f t="shared" si="98"/>
        <v>0</v>
      </c>
      <c r="F298" s="1199"/>
      <c r="G298" s="1198"/>
      <c r="H298" s="1198"/>
      <c r="I298" s="1179">
        <f t="shared" si="99"/>
        <v>0</v>
      </c>
      <c r="J298" s="1180">
        <f t="shared" si="100"/>
        <v>0</v>
      </c>
      <c r="K298" s="1181">
        <f t="shared" si="101"/>
        <v>0</v>
      </c>
    </row>
    <row r="299" spans="1:11" ht="20.100000000000001" hidden="1" customHeight="1" thickTop="1" thickBot="1">
      <c r="A299" s="1182" t="s">
        <v>2254</v>
      </c>
      <c r="B299" s="1183">
        <f t="shared" ref="B299:K299" si="103">SUM(B287:B298)</f>
        <v>0</v>
      </c>
      <c r="C299" s="1184">
        <f t="shared" si="103"/>
        <v>0</v>
      </c>
      <c r="D299" s="1184">
        <f t="shared" si="103"/>
        <v>0</v>
      </c>
      <c r="E299" s="1185">
        <f t="shared" si="103"/>
        <v>0</v>
      </c>
      <c r="F299" s="1183">
        <f t="shared" si="103"/>
        <v>0</v>
      </c>
      <c r="G299" s="1184">
        <f t="shared" si="103"/>
        <v>0</v>
      </c>
      <c r="H299" s="1184">
        <f t="shared" si="103"/>
        <v>0</v>
      </c>
      <c r="I299" s="1185">
        <f t="shared" si="103"/>
        <v>0</v>
      </c>
      <c r="J299" s="1183">
        <f t="shared" si="103"/>
        <v>0</v>
      </c>
      <c r="K299" s="1185">
        <f t="shared" si="103"/>
        <v>0</v>
      </c>
    </row>
    <row r="300" spans="1:11" ht="20.100000000000001" hidden="1" customHeight="1">
      <c r="A300" s="1186"/>
      <c r="B300" s="1187"/>
      <c r="C300" s="1188"/>
      <c r="D300" s="1189"/>
      <c r="E300" s="1189"/>
      <c r="F300" s="1189"/>
      <c r="G300" s="1189"/>
      <c r="H300" s="1189"/>
      <c r="I300" s="1189"/>
      <c r="J300" s="1189"/>
      <c r="K300" s="1190"/>
    </row>
    <row r="301" spans="1:11" ht="20.100000000000001" hidden="1" customHeight="1">
      <c r="A301" s="1191" t="s">
        <v>2255</v>
      </c>
      <c r="B301" s="1200" t="s">
        <v>5</v>
      </c>
      <c r="C301" s="1189"/>
      <c r="D301" s="1189"/>
      <c r="E301" s="1189"/>
      <c r="F301" s="1189"/>
      <c r="G301" s="1189"/>
      <c r="H301" s="2053" t="s">
        <v>2256</v>
      </c>
      <c r="I301" s="2054"/>
      <c r="J301" s="1192" t="s">
        <v>2250</v>
      </c>
      <c r="K301" s="1193">
        <f>IF(J299=0,0,J299/COUNTIF(J287:J298,"&lt;&gt;0"))</f>
        <v>0</v>
      </c>
    </row>
    <row r="302" spans="1:11" ht="20.100000000000001" hidden="1" customHeight="1">
      <c r="A302" s="1189"/>
      <c r="B302" s="1189"/>
      <c r="C302" s="1189"/>
      <c r="D302" s="1189"/>
      <c r="E302" s="1189"/>
      <c r="F302" s="1189"/>
      <c r="G302" s="1189"/>
      <c r="H302" s="1194"/>
      <c r="I302" s="1194"/>
      <c r="J302" s="1192" t="s">
        <v>2253</v>
      </c>
      <c r="K302" s="1193">
        <f>IF(K299=0,0,K299/COUNTIF(K287:K298,"&lt;&gt;0"))</f>
        <v>0</v>
      </c>
    </row>
    <row r="303" spans="1:11" ht="20.100000000000001" hidden="1" customHeight="1">
      <c r="A303" s="978"/>
      <c r="B303" s="978"/>
      <c r="C303" s="978"/>
      <c r="D303" s="978"/>
      <c r="E303" s="978"/>
      <c r="F303" s="978"/>
      <c r="G303" s="978"/>
      <c r="H303" s="978"/>
      <c r="I303" s="978"/>
    </row>
    <row r="304" spans="1:11" ht="20.100000000000001" hidden="1" customHeight="1">
      <c r="F304" s="978"/>
      <c r="G304" s="978"/>
      <c r="H304" s="978"/>
      <c r="I304" s="978"/>
    </row>
    <row r="305" spans="1:9" ht="15" hidden="1" customHeight="1">
      <c r="A305" t="s">
        <v>389</v>
      </c>
      <c r="B305">
        <v>1</v>
      </c>
      <c r="F305" s="978"/>
      <c r="G305" s="978"/>
      <c r="H305" s="978"/>
      <c r="I305" s="978"/>
    </row>
    <row r="306" spans="1:9" ht="15" hidden="1" customHeight="1">
      <c r="A306" t="s">
        <v>390</v>
      </c>
      <c r="B306">
        <v>2</v>
      </c>
      <c r="F306" s="978"/>
      <c r="G306" s="978"/>
      <c r="H306" s="978"/>
      <c r="I306" s="978"/>
    </row>
    <row r="307" spans="1:9" ht="15" hidden="1" customHeight="1">
      <c r="A307" t="s">
        <v>391</v>
      </c>
      <c r="B307">
        <v>3</v>
      </c>
      <c r="F307" s="978"/>
      <c r="G307" s="978"/>
      <c r="H307" s="978"/>
      <c r="I307" s="978"/>
    </row>
    <row r="308" spans="1:9" ht="15" hidden="1" customHeight="1">
      <c r="A308" t="s">
        <v>392</v>
      </c>
      <c r="B308">
        <v>4</v>
      </c>
      <c r="F308" s="978"/>
      <c r="G308" s="978"/>
      <c r="H308" s="978"/>
      <c r="I308" s="978"/>
    </row>
    <row r="309" spans="1:9" ht="15" hidden="1" customHeight="1">
      <c r="A309" t="s">
        <v>393</v>
      </c>
      <c r="B309">
        <v>5</v>
      </c>
      <c r="F309" s="978"/>
      <c r="G309" s="978"/>
      <c r="H309" s="978"/>
      <c r="I309" s="978"/>
    </row>
    <row r="310" spans="1:9" ht="15" hidden="1" customHeight="1">
      <c r="A310" t="s">
        <v>394</v>
      </c>
      <c r="B310">
        <v>6</v>
      </c>
      <c r="F310" s="978"/>
      <c r="G310" s="978"/>
      <c r="H310" s="978"/>
      <c r="I310" s="978"/>
    </row>
    <row r="311" spans="1:9" ht="15" hidden="1" customHeight="1">
      <c r="A311" t="s">
        <v>395</v>
      </c>
      <c r="B311">
        <v>7</v>
      </c>
      <c r="F311" s="978"/>
      <c r="G311" s="978"/>
      <c r="H311" s="978"/>
      <c r="I311" s="978"/>
    </row>
    <row r="312" spans="1:9" ht="15" hidden="1" customHeight="1">
      <c r="A312" t="s">
        <v>396</v>
      </c>
      <c r="B312">
        <v>8</v>
      </c>
      <c r="F312" s="978"/>
      <c r="G312" s="978"/>
      <c r="H312" s="978"/>
      <c r="I312" s="978"/>
    </row>
    <row r="313" spans="1:9" ht="15" hidden="1" customHeight="1">
      <c r="A313" t="s">
        <v>397</v>
      </c>
      <c r="B313">
        <v>9</v>
      </c>
      <c r="F313" s="978"/>
      <c r="G313" s="978"/>
      <c r="H313" s="978"/>
      <c r="I313" s="978"/>
    </row>
    <row r="314" spans="1:9" ht="15" hidden="1" customHeight="1">
      <c r="A314" t="s">
        <v>398</v>
      </c>
      <c r="B314">
        <v>10</v>
      </c>
      <c r="F314" s="978"/>
      <c r="G314" s="978"/>
      <c r="H314" s="978"/>
      <c r="I314" s="978"/>
    </row>
    <row r="315" spans="1:9" ht="15" hidden="1" customHeight="1">
      <c r="A315" t="s">
        <v>399</v>
      </c>
      <c r="B315">
        <v>11</v>
      </c>
      <c r="F315" s="978"/>
      <c r="G315" s="978"/>
      <c r="H315" s="978"/>
      <c r="I315" s="978"/>
    </row>
    <row r="316" spans="1:9" ht="15" hidden="1" customHeight="1">
      <c r="A316" t="s">
        <v>400</v>
      </c>
      <c r="B316">
        <v>12</v>
      </c>
      <c r="F316" s="978"/>
      <c r="G316" s="978"/>
      <c r="H316" s="978"/>
      <c r="I316" s="978"/>
    </row>
    <row r="317" spans="1:9" ht="15" hidden="1" customHeight="1">
      <c r="A317" t="s">
        <v>401</v>
      </c>
      <c r="B317">
        <v>13</v>
      </c>
      <c r="F317" s="978"/>
      <c r="G317" s="978"/>
      <c r="H317" s="978"/>
      <c r="I317" s="978"/>
    </row>
    <row r="318" spans="1:9" ht="15" hidden="1" customHeight="1">
      <c r="A318" t="s">
        <v>402</v>
      </c>
      <c r="B318">
        <v>14</v>
      </c>
      <c r="F318" s="978"/>
      <c r="G318" s="978"/>
      <c r="H318" s="978"/>
      <c r="I318" s="978"/>
    </row>
    <row r="319" spans="1:9" ht="15" hidden="1" customHeight="1">
      <c r="A319" t="s">
        <v>403</v>
      </c>
      <c r="B319">
        <v>15</v>
      </c>
      <c r="F319" s="978"/>
      <c r="G319" s="978"/>
      <c r="H319" s="978"/>
      <c r="I319" s="978"/>
    </row>
    <row r="320" spans="1:9" ht="15" hidden="1" customHeight="1">
      <c r="A320" t="s">
        <v>404</v>
      </c>
      <c r="B320">
        <v>16</v>
      </c>
      <c r="F320" s="978"/>
      <c r="G320" s="978"/>
      <c r="H320" s="978"/>
      <c r="I320" s="978"/>
    </row>
    <row r="321" spans="1:32" ht="20.100000000000001" hidden="1" customHeight="1">
      <c r="A321" s="976"/>
      <c r="B321" s="976"/>
      <c r="C321" s="976"/>
      <c r="D321" s="976"/>
      <c r="E321" s="976"/>
      <c r="F321" s="976"/>
      <c r="G321" s="976"/>
      <c r="H321" s="976"/>
      <c r="I321" s="976"/>
    </row>
    <row r="322" spans="1:32" s="1151" customFormat="1" ht="15" hidden="1" customHeight="1">
      <c r="A322" s="1150" t="s">
        <v>389</v>
      </c>
      <c r="B322" s="1150"/>
      <c r="C322" s="1150" t="s">
        <v>390</v>
      </c>
      <c r="D322" s="1150"/>
      <c r="E322" s="1150" t="s">
        <v>391</v>
      </c>
      <c r="F322" s="1150"/>
      <c r="G322" s="1150" t="s">
        <v>392</v>
      </c>
      <c r="H322" s="1150"/>
      <c r="I322" s="1150" t="s">
        <v>393</v>
      </c>
      <c r="K322" s="1151" t="s">
        <v>394</v>
      </c>
      <c r="M322" s="1151" t="s">
        <v>395</v>
      </c>
      <c r="O322" s="1151" t="s">
        <v>396</v>
      </c>
      <c r="Q322" s="1151" t="s">
        <v>397</v>
      </c>
      <c r="S322" s="1151" t="s">
        <v>398</v>
      </c>
      <c r="U322" s="1151" t="s">
        <v>399</v>
      </c>
      <c r="W322" s="1151" t="s">
        <v>400</v>
      </c>
      <c r="Y322" s="1151" t="s">
        <v>401</v>
      </c>
      <c r="AA322" s="1151" t="s">
        <v>402</v>
      </c>
      <c r="AC322" s="1151" t="s">
        <v>403</v>
      </c>
      <c r="AE322" s="1151" t="s">
        <v>404</v>
      </c>
    </row>
    <row r="323" spans="1:32" s="1155" customFormat="1" ht="15" hidden="1" customHeight="1">
      <c r="A323" s="1154" t="s">
        <v>405</v>
      </c>
      <c r="B323" s="1154" t="s">
        <v>323</v>
      </c>
      <c r="C323" s="1154" t="s">
        <v>405</v>
      </c>
      <c r="D323" s="1154" t="s">
        <v>323</v>
      </c>
      <c r="E323" s="1154" t="s">
        <v>405</v>
      </c>
      <c r="F323" s="1154" t="s">
        <v>323</v>
      </c>
      <c r="G323" s="1154" t="s">
        <v>405</v>
      </c>
      <c r="H323" s="1154" t="s">
        <v>323</v>
      </c>
      <c r="I323" s="1154" t="s">
        <v>405</v>
      </c>
      <c r="J323" s="1155" t="s">
        <v>323</v>
      </c>
      <c r="K323" s="1155" t="s">
        <v>405</v>
      </c>
      <c r="L323" s="1155" t="s">
        <v>323</v>
      </c>
      <c r="M323" s="1155" t="s">
        <v>405</v>
      </c>
      <c r="N323" s="1155" t="s">
        <v>323</v>
      </c>
      <c r="O323" s="1155" t="s">
        <v>405</v>
      </c>
      <c r="P323" s="1155" t="s">
        <v>323</v>
      </c>
      <c r="Q323" s="1155" t="s">
        <v>405</v>
      </c>
      <c r="R323" s="1155" t="s">
        <v>323</v>
      </c>
      <c r="S323" s="1155" t="s">
        <v>405</v>
      </c>
      <c r="T323" s="1155" t="s">
        <v>323</v>
      </c>
      <c r="U323" s="1155" t="s">
        <v>405</v>
      </c>
      <c r="V323" s="1155" t="s">
        <v>323</v>
      </c>
      <c r="W323" s="1155" t="s">
        <v>405</v>
      </c>
      <c r="X323" s="1155" t="s">
        <v>323</v>
      </c>
      <c r="Y323" s="1155" t="s">
        <v>405</v>
      </c>
      <c r="Z323" s="1155" t="s">
        <v>323</v>
      </c>
      <c r="AA323" s="1155" t="s">
        <v>405</v>
      </c>
      <c r="AB323" s="1155" t="s">
        <v>323</v>
      </c>
      <c r="AC323" s="1155" t="s">
        <v>405</v>
      </c>
      <c r="AD323" s="1155" t="s">
        <v>323</v>
      </c>
      <c r="AE323" s="1155" t="s">
        <v>405</v>
      </c>
      <c r="AF323" s="1155" t="s">
        <v>323</v>
      </c>
    </row>
    <row r="324" spans="1:32" s="1153" customFormat="1" ht="15" hidden="1" customHeight="1">
      <c r="A324" s="1152" t="s">
        <v>406</v>
      </c>
      <c r="B324" s="1152" t="s">
        <v>333</v>
      </c>
      <c r="C324" s="1152" t="s">
        <v>407</v>
      </c>
      <c r="D324" s="1152" t="s">
        <v>332</v>
      </c>
      <c r="E324" s="1152" t="s">
        <v>408</v>
      </c>
      <c r="F324" s="1152" t="s">
        <v>334</v>
      </c>
      <c r="G324" s="1152" t="s">
        <v>409</v>
      </c>
      <c r="H324" s="1152" t="s">
        <v>334</v>
      </c>
      <c r="I324" s="1152" t="s">
        <v>410</v>
      </c>
      <c r="J324" s="1153" t="s">
        <v>334</v>
      </c>
      <c r="K324" s="1153" t="s">
        <v>411</v>
      </c>
      <c r="L324" s="1153" t="s">
        <v>336</v>
      </c>
      <c r="M324" s="1153" t="s">
        <v>2207</v>
      </c>
      <c r="N324" s="1153" t="s">
        <v>332</v>
      </c>
      <c r="O324" s="1153" t="s">
        <v>412</v>
      </c>
      <c r="P324" s="1153" t="s">
        <v>332</v>
      </c>
      <c r="Q324" s="1153" t="s">
        <v>413</v>
      </c>
      <c r="R324" s="1153" t="s">
        <v>333</v>
      </c>
      <c r="S324" s="1153" t="s">
        <v>414</v>
      </c>
      <c r="T324" s="1153" t="s">
        <v>334</v>
      </c>
      <c r="U324" s="1153" t="s">
        <v>415</v>
      </c>
      <c r="V324" s="1153" t="s">
        <v>333</v>
      </c>
      <c r="W324" s="1153" t="s">
        <v>416</v>
      </c>
      <c r="X324" s="1153" t="s">
        <v>312</v>
      </c>
      <c r="Y324" s="1153" t="s">
        <v>417</v>
      </c>
      <c r="Z324" s="1153" t="s">
        <v>312</v>
      </c>
      <c r="AA324" s="1153" t="s">
        <v>418</v>
      </c>
      <c r="AB324" s="1153" t="s">
        <v>332</v>
      </c>
      <c r="AC324" s="1153" t="s">
        <v>419</v>
      </c>
      <c r="AD324" s="1153" t="s">
        <v>336</v>
      </c>
      <c r="AE324" s="1153" t="s">
        <v>420</v>
      </c>
      <c r="AF324" s="1153" t="s">
        <v>332</v>
      </c>
    </row>
    <row r="325" spans="1:32" s="1153" customFormat="1" ht="15" hidden="1" customHeight="1">
      <c r="A325" s="1152" t="s">
        <v>421</v>
      </c>
      <c r="B325" s="1152" t="s">
        <v>332</v>
      </c>
      <c r="C325" s="1152" t="s">
        <v>422</v>
      </c>
      <c r="D325" s="1152" t="s">
        <v>333</v>
      </c>
      <c r="E325" s="1152"/>
      <c r="F325" s="1152"/>
      <c r="G325" s="1152" t="s">
        <v>423</v>
      </c>
      <c r="H325" s="1152" t="s">
        <v>332</v>
      </c>
      <c r="I325" s="1152" t="s">
        <v>424</v>
      </c>
      <c r="J325" s="1153" t="s">
        <v>333</v>
      </c>
      <c r="M325" s="1153" t="s">
        <v>2208</v>
      </c>
      <c r="N325" s="1153" t="s">
        <v>333</v>
      </c>
      <c r="O325" s="1153" t="s">
        <v>425</v>
      </c>
      <c r="P325" s="1153" t="s">
        <v>334</v>
      </c>
      <c r="Q325" s="1153" t="s">
        <v>426</v>
      </c>
      <c r="R325" s="1153" t="s">
        <v>333</v>
      </c>
      <c r="S325" s="1153" t="s">
        <v>427</v>
      </c>
      <c r="T325" s="1153" t="s">
        <v>332</v>
      </c>
      <c r="U325" s="1153" t="s">
        <v>428</v>
      </c>
      <c r="V325" s="1153" t="s">
        <v>332</v>
      </c>
      <c r="W325" s="1153" t="s">
        <v>429</v>
      </c>
      <c r="X325" s="1153" t="s">
        <v>312</v>
      </c>
      <c r="Y325" s="1153" t="s">
        <v>430</v>
      </c>
      <c r="Z325" s="1153" t="s">
        <v>312</v>
      </c>
      <c r="AA325" s="1153" t="s">
        <v>431</v>
      </c>
      <c r="AB325" s="1153" t="s">
        <v>332</v>
      </c>
      <c r="AC325" s="1153" t="s">
        <v>432</v>
      </c>
      <c r="AD325" s="1153" t="s">
        <v>334</v>
      </c>
      <c r="AE325" s="1153" t="s">
        <v>433</v>
      </c>
      <c r="AF325" s="1153" t="s">
        <v>332</v>
      </c>
    </row>
    <row r="326" spans="1:32" s="1153" customFormat="1" ht="15" hidden="1" customHeight="1">
      <c r="A326" s="1152" t="s">
        <v>434</v>
      </c>
      <c r="B326" s="1152" t="s">
        <v>332</v>
      </c>
      <c r="C326" s="1152" t="s">
        <v>447</v>
      </c>
      <c r="D326" s="1152" t="s">
        <v>333</v>
      </c>
      <c r="E326" s="1152"/>
      <c r="F326" s="1152"/>
      <c r="G326" s="1152" t="s">
        <v>436</v>
      </c>
      <c r="H326" s="1152" t="s">
        <v>333</v>
      </c>
      <c r="I326" s="1152"/>
      <c r="M326" s="1153" t="s">
        <v>2209</v>
      </c>
      <c r="N326" s="1153" t="s">
        <v>333</v>
      </c>
      <c r="O326" s="1153" t="s">
        <v>437</v>
      </c>
      <c r="P326" s="1153" t="s">
        <v>333</v>
      </c>
      <c r="Q326" s="1153" t="s">
        <v>438</v>
      </c>
      <c r="R326" s="1153" t="s">
        <v>312</v>
      </c>
      <c r="S326" s="1153" t="s">
        <v>439</v>
      </c>
      <c r="T326" s="1153" t="s">
        <v>332</v>
      </c>
      <c r="U326" s="1153" t="s">
        <v>440</v>
      </c>
      <c r="V326" s="1153" t="s">
        <v>334</v>
      </c>
      <c r="W326" s="1153" t="s">
        <v>441</v>
      </c>
      <c r="X326" s="1153" t="s">
        <v>312</v>
      </c>
      <c r="Y326" s="1153" t="s">
        <v>442</v>
      </c>
      <c r="Z326" s="1153" t="s">
        <v>312</v>
      </c>
      <c r="AA326" s="1153" t="s">
        <v>443</v>
      </c>
      <c r="AB326" s="1153" t="s">
        <v>332</v>
      </c>
      <c r="AC326" s="1153" t="s">
        <v>444</v>
      </c>
      <c r="AD326" s="1153" t="s">
        <v>334</v>
      </c>
      <c r="AE326" s="1153" t="s">
        <v>445</v>
      </c>
      <c r="AF326" s="1153" t="s">
        <v>332</v>
      </c>
    </row>
    <row r="327" spans="1:32" s="1153" customFormat="1" ht="15" hidden="1" customHeight="1">
      <c r="A327" s="1152" t="s">
        <v>446</v>
      </c>
      <c r="B327" s="1152" t="s">
        <v>332</v>
      </c>
      <c r="C327" s="1152" t="s">
        <v>435</v>
      </c>
      <c r="D327" s="1152" t="s">
        <v>332</v>
      </c>
      <c r="E327" s="1152"/>
      <c r="F327" s="1152"/>
      <c r="G327" s="1152" t="s">
        <v>448</v>
      </c>
      <c r="H327" s="1152" t="s">
        <v>332</v>
      </c>
      <c r="I327" s="1152"/>
      <c r="M327" s="1153" t="s">
        <v>2210</v>
      </c>
      <c r="N327" s="1153" t="s">
        <v>333</v>
      </c>
      <c r="O327" s="1153" t="s">
        <v>449</v>
      </c>
      <c r="P327" s="1153" t="s">
        <v>333</v>
      </c>
      <c r="Q327" s="1153" t="s">
        <v>450</v>
      </c>
      <c r="R327" s="1153" t="s">
        <v>332</v>
      </c>
      <c r="S327" s="1153" t="s">
        <v>451</v>
      </c>
      <c r="T327" s="1153" t="s">
        <v>333</v>
      </c>
      <c r="U327" s="1153" t="s">
        <v>452</v>
      </c>
      <c r="V327" s="1153" t="s">
        <v>333</v>
      </c>
      <c r="W327" s="1153" t="s">
        <v>453</v>
      </c>
      <c r="X327" s="1153" t="s">
        <v>332</v>
      </c>
      <c r="Y327" s="1153" t="s">
        <v>454</v>
      </c>
      <c r="Z327" s="1153" t="s">
        <v>333</v>
      </c>
      <c r="AA327" s="1153" t="s">
        <v>455</v>
      </c>
      <c r="AB327" s="1153" t="s">
        <v>333</v>
      </c>
      <c r="AC327" s="1153" t="s">
        <v>456</v>
      </c>
      <c r="AD327" s="1153" t="s">
        <v>335</v>
      </c>
      <c r="AE327" s="1153" t="s">
        <v>457</v>
      </c>
      <c r="AF327" s="1153" t="s">
        <v>332</v>
      </c>
    </row>
    <row r="328" spans="1:32" s="1153" customFormat="1" ht="15" hidden="1" customHeight="1">
      <c r="A328" s="1152" t="s">
        <v>458</v>
      </c>
      <c r="B328" s="1152" t="s">
        <v>334</v>
      </c>
      <c r="C328" s="1152" t="s">
        <v>459</v>
      </c>
      <c r="D328" s="1152" t="s">
        <v>332</v>
      </c>
      <c r="E328" s="1152"/>
      <c r="F328" s="1152"/>
      <c r="G328" s="1152" t="s">
        <v>460</v>
      </c>
      <c r="H328" s="1152" t="s">
        <v>332</v>
      </c>
      <c r="I328" s="1152"/>
      <c r="M328" s="1153" t="s">
        <v>2211</v>
      </c>
      <c r="N328" s="1153" t="s">
        <v>312</v>
      </c>
      <c r="O328" s="1153" t="s">
        <v>461</v>
      </c>
      <c r="P328" s="1153" t="s">
        <v>332</v>
      </c>
      <c r="Q328" s="1153" t="s">
        <v>462</v>
      </c>
      <c r="R328" s="1153" t="s">
        <v>312</v>
      </c>
      <c r="S328" s="1153" t="s">
        <v>463</v>
      </c>
      <c r="T328" s="1153" t="s">
        <v>334</v>
      </c>
      <c r="U328" s="1153" t="s">
        <v>464</v>
      </c>
      <c r="V328" s="1153" t="s">
        <v>333</v>
      </c>
      <c r="W328" s="1153" t="s">
        <v>465</v>
      </c>
      <c r="X328" s="1153" t="s">
        <v>312</v>
      </c>
      <c r="Y328" s="1153" t="s">
        <v>466</v>
      </c>
      <c r="Z328" s="1153" t="s">
        <v>332</v>
      </c>
      <c r="AA328" s="1153" t="s">
        <v>467</v>
      </c>
      <c r="AB328" s="1153" t="s">
        <v>312</v>
      </c>
      <c r="AC328" s="1153" t="s">
        <v>468</v>
      </c>
      <c r="AD328" s="1153" t="s">
        <v>334</v>
      </c>
      <c r="AE328" s="1153" t="s">
        <v>469</v>
      </c>
      <c r="AF328" s="1153" t="s">
        <v>332</v>
      </c>
    </row>
    <row r="329" spans="1:32" s="1153" customFormat="1" ht="15" hidden="1" customHeight="1">
      <c r="A329" s="1152" t="s">
        <v>470</v>
      </c>
      <c r="B329" s="1152" t="s">
        <v>335</v>
      </c>
      <c r="C329" s="1152" t="s">
        <v>471</v>
      </c>
      <c r="D329" s="1152" t="s">
        <v>333</v>
      </c>
      <c r="E329" s="1152"/>
      <c r="F329" s="1152"/>
      <c r="G329" s="1152" t="s">
        <v>472</v>
      </c>
      <c r="H329" s="1152" t="s">
        <v>333</v>
      </c>
      <c r="I329" s="1152"/>
      <c r="M329" s="1153" t="s">
        <v>2212</v>
      </c>
      <c r="N329" s="1153" t="s">
        <v>333</v>
      </c>
      <c r="O329" s="1153" t="s">
        <v>473</v>
      </c>
      <c r="P329" s="1153" t="s">
        <v>334</v>
      </c>
      <c r="Q329" s="1153" t="s">
        <v>474</v>
      </c>
      <c r="R329" s="1153" t="s">
        <v>332</v>
      </c>
      <c r="S329" s="1153" t="s">
        <v>475</v>
      </c>
      <c r="T329" s="1153" t="s">
        <v>332</v>
      </c>
      <c r="U329" s="1153" t="s">
        <v>476</v>
      </c>
      <c r="V329" s="1153" t="s">
        <v>332</v>
      </c>
      <c r="W329" s="1153" t="s">
        <v>477</v>
      </c>
      <c r="X329" s="1153" t="s">
        <v>332</v>
      </c>
      <c r="Y329" s="1153" t="s">
        <v>478</v>
      </c>
      <c r="Z329" s="1153" t="s">
        <v>332</v>
      </c>
      <c r="AA329" s="1153" t="s">
        <v>479</v>
      </c>
      <c r="AB329" s="1153" t="s">
        <v>332</v>
      </c>
      <c r="AC329" s="1153" t="s">
        <v>480</v>
      </c>
      <c r="AD329" s="1153" t="s">
        <v>335</v>
      </c>
      <c r="AE329" s="1153" t="s">
        <v>481</v>
      </c>
      <c r="AF329" s="1153" t="s">
        <v>333</v>
      </c>
    </row>
    <row r="330" spans="1:32" s="1153" customFormat="1" ht="15" hidden="1" customHeight="1">
      <c r="A330" s="1152" t="s">
        <v>482</v>
      </c>
      <c r="B330" s="1152" t="s">
        <v>334</v>
      </c>
      <c r="C330" s="1152" t="s">
        <v>483</v>
      </c>
      <c r="D330" s="1152" t="s">
        <v>332</v>
      </c>
      <c r="E330" s="1152"/>
      <c r="F330" s="1152"/>
      <c r="G330" s="1152" t="s">
        <v>484</v>
      </c>
      <c r="H330" s="1152" t="s">
        <v>334</v>
      </c>
      <c r="I330" s="1152"/>
      <c r="M330" s="1153" t="s">
        <v>2213</v>
      </c>
      <c r="N330" s="1153" t="s">
        <v>332</v>
      </c>
      <c r="O330" s="1153" t="s">
        <v>485</v>
      </c>
      <c r="P330" s="1153" t="s">
        <v>333</v>
      </c>
      <c r="Q330" s="1153" t="s">
        <v>486</v>
      </c>
      <c r="R330" s="1153" t="s">
        <v>332</v>
      </c>
      <c r="S330" s="1153" t="s">
        <v>487</v>
      </c>
      <c r="T330" s="1153" t="s">
        <v>333</v>
      </c>
      <c r="U330" s="1153" t="s">
        <v>488</v>
      </c>
      <c r="V330" s="1153" t="s">
        <v>333</v>
      </c>
      <c r="W330" s="1153" t="s">
        <v>489</v>
      </c>
      <c r="X330" s="1153" t="s">
        <v>312</v>
      </c>
      <c r="Y330" s="1153" t="s">
        <v>490</v>
      </c>
      <c r="Z330" s="1153" t="s">
        <v>332</v>
      </c>
      <c r="AA330" s="1153" t="s">
        <v>491</v>
      </c>
      <c r="AB330" s="1153" t="s">
        <v>332</v>
      </c>
      <c r="AC330" s="1153" t="s">
        <v>492</v>
      </c>
      <c r="AD330" s="1153" t="s">
        <v>334</v>
      </c>
      <c r="AE330" s="1153" t="s">
        <v>493</v>
      </c>
      <c r="AF330" s="1153" t="s">
        <v>332</v>
      </c>
    </row>
    <row r="331" spans="1:32" s="1153" customFormat="1" ht="15" hidden="1" customHeight="1">
      <c r="A331" s="1152" t="s">
        <v>494</v>
      </c>
      <c r="B331" s="1152" t="s">
        <v>334</v>
      </c>
      <c r="C331" s="1152" t="s">
        <v>495</v>
      </c>
      <c r="D331" s="1152" t="s">
        <v>332</v>
      </c>
      <c r="E331" s="1152"/>
      <c r="F331" s="1152"/>
      <c r="G331" s="1152" t="s">
        <v>496</v>
      </c>
      <c r="H331" s="1152" t="s">
        <v>332</v>
      </c>
      <c r="I331" s="1152"/>
      <c r="M331" s="1153" t="s">
        <v>2214</v>
      </c>
      <c r="N331" s="1153" t="s">
        <v>336</v>
      </c>
      <c r="O331" s="1153" t="s">
        <v>497</v>
      </c>
      <c r="P331" s="1153" t="s">
        <v>332</v>
      </c>
      <c r="Q331" s="1153" t="s">
        <v>498</v>
      </c>
      <c r="R331" s="1153" t="s">
        <v>312</v>
      </c>
      <c r="S331" s="1153" t="s">
        <v>499</v>
      </c>
      <c r="T331" s="1153" t="s">
        <v>312</v>
      </c>
      <c r="U331" s="1153" t="s">
        <v>500</v>
      </c>
      <c r="V331" s="1153" t="s">
        <v>333</v>
      </c>
      <c r="W331" s="1153" t="s">
        <v>501</v>
      </c>
      <c r="X331" s="1153" t="s">
        <v>332</v>
      </c>
      <c r="Y331" s="1153" t="s">
        <v>502</v>
      </c>
      <c r="Z331" s="1153" t="s">
        <v>332</v>
      </c>
      <c r="AA331" s="1153" t="s">
        <v>503</v>
      </c>
      <c r="AB331" s="1153" t="s">
        <v>312</v>
      </c>
      <c r="AC331" s="1153" t="s">
        <v>504</v>
      </c>
      <c r="AD331" s="1153" t="s">
        <v>336</v>
      </c>
      <c r="AE331" s="1153" t="s">
        <v>505</v>
      </c>
      <c r="AF331" s="1153" t="s">
        <v>333</v>
      </c>
    </row>
    <row r="332" spans="1:32" s="1153" customFormat="1" ht="15" hidden="1" customHeight="1">
      <c r="A332" s="1153" t="s">
        <v>506</v>
      </c>
      <c r="B332" s="1153" t="s">
        <v>333</v>
      </c>
      <c r="C332" s="1153" t="s">
        <v>507</v>
      </c>
      <c r="D332" s="1153" t="s">
        <v>334</v>
      </c>
      <c r="G332" s="1153" t="s">
        <v>508</v>
      </c>
      <c r="H332" s="1153" t="s">
        <v>333</v>
      </c>
      <c r="M332" s="1153" t="s">
        <v>2215</v>
      </c>
      <c r="N332" s="1153" t="s">
        <v>334</v>
      </c>
      <c r="O332" s="1153" t="s">
        <v>509</v>
      </c>
      <c r="P332" s="1153" t="s">
        <v>332</v>
      </c>
      <c r="Q332" s="1153" t="s">
        <v>510</v>
      </c>
      <c r="R332" s="1153" t="s">
        <v>332</v>
      </c>
      <c r="S332" s="1153" t="s">
        <v>511</v>
      </c>
      <c r="T332" s="1153" t="s">
        <v>333</v>
      </c>
      <c r="U332" s="1153" t="s">
        <v>512</v>
      </c>
      <c r="V332" s="1153" t="s">
        <v>312</v>
      </c>
      <c r="W332" s="1153" t="s">
        <v>513</v>
      </c>
      <c r="X332" s="1153" t="s">
        <v>332</v>
      </c>
      <c r="Y332" s="1153" t="s">
        <v>514</v>
      </c>
      <c r="Z332" s="1153" t="s">
        <v>332</v>
      </c>
      <c r="AA332" s="1153" t="s">
        <v>515</v>
      </c>
      <c r="AB332" s="1153" t="s">
        <v>332</v>
      </c>
      <c r="AC332" s="1153" t="s">
        <v>516</v>
      </c>
      <c r="AD332" s="1153" t="s">
        <v>332</v>
      </c>
      <c r="AE332" s="1153" t="s">
        <v>517</v>
      </c>
      <c r="AF332" s="1153" t="s">
        <v>332</v>
      </c>
    </row>
    <row r="333" spans="1:32" s="1153" customFormat="1" ht="15" hidden="1" customHeight="1">
      <c r="A333" s="1153" t="s">
        <v>518</v>
      </c>
      <c r="B333" s="1153" t="s">
        <v>335</v>
      </c>
      <c r="C333" s="1153" t="s">
        <v>519</v>
      </c>
      <c r="D333" s="1153" t="s">
        <v>334</v>
      </c>
      <c r="G333" s="1153" t="s">
        <v>520</v>
      </c>
      <c r="H333" s="1153" t="s">
        <v>332</v>
      </c>
      <c r="M333" s="1153" t="s">
        <v>2216</v>
      </c>
      <c r="N333" s="1153" t="s">
        <v>334</v>
      </c>
      <c r="O333" s="1153" t="s">
        <v>2238</v>
      </c>
      <c r="P333" s="1153" t="s">
        <v>332</v>
      </c>
      <c r="Q333" s="1153" t="s">
        <v>522</v>
      </c>
      <c r="R333" s="1153" t="s">
        <v>332</v>
      </c>
      <c r="S333" s="1153" t="s">
        <v>523</v>
      </c>
      <c r="T333" s="1153" t="s">
        <v>312</v>
      </c>
      <c r="U333" s="1153" t="s">
        <v>524</v>
      </c>
      <c r="V333" s="1153" t="s">
        <v>312</v>
      </c>
      <c r="W333" s="1153" t="s">
        <v>525</v>
      </c>
      <c r="X333" s="1153" t="s">
        <v>332</v>
      </c>
      <c r="Y333" s="1153" t="s">
        <v>526</v>
      </c>
      <c r="Z333" s="1153" t="s">
        <v>333</v>
      </c>
      <c r="AA333" s="1153" t="s">
        <v>527</v>
      </c>
      <c r="AB333" s="1153" t="s">
        <v>332</v>
      </c>
      <c r="AC333" s="1153" t="s">
        <v>528</v>
      </c>
      <c r="AD333" s="1153" t="s">
        <v>334</v>
      </c>
      <c r="AE333" s="1153" t="s">
        <v>529</v>
      </c>
      <c r="AF333" s="1153" t="s">
        <v>332</v>
      </c>
    </row>
    <row r="334" spans="1:32" s="1153" customFormat="1" ht="15" hidden="1" customHeight="1">
      <c r="A334" s="1153" t="s">
        <v>530</v>
      </c>
      <c r="B334" s="1153" t="s">
        <v>332</v>
      </c>
      <c r="C334" s="1153" t="s">
        <v>531</v>
      </c>
      <c r="D334" s="1153" t="s">
        <v>333</v>
      </c>
      <c r="G334" s="1153" t="s">
        <v>532</v>
      </c>
      <c r="H334" s="1153" t="s">
        <v>333</v>
      </c>
      <c r="M334" s="1153" t="s">
        <v>2217</v>
      </c>
      <c r="N334" s="1153" t="s">
        <v>335</v>
      </c>
      <c r="O334" s="1153" t="s">
        <v>2239</v>
      </c>
      <c r="P334" s="1153" t="s">
        <v>332</v>
      </c>
      <c r="Q334" s="1153" t="s">
        <v>534</v>
      </c>
      <c r="R334" s="1153" t="s">
        <v>332</v>
      </c>
      <c r="S334" s="1153" t="s">
        <v>535</v>
      </c>
      <c r="T334" s="1153" t="s">
        <v>332</v>
      </c>
      <c r="U334" s="1153" t="s">
        <v>536</v>
      </c>
      <c r="V334" s="1153" t="s">
        <v>332</v>
      </c>
      <c r="W334" s="1153" t="s">
        <v>537</v>
      </c>
      <c r="X334" s="1153" t="s">
        <v>332</v>
      </c>
      <c r="Y334" s="1153" t="s">
        <v>538</v>
      </c>
      <c r="Z334" s="1153" t="s">
        <v>312</v>
      </c>
      <c r="AA334" s="1153" t="s">
        <v>539</v>
      </c>
      <c r="AB334" s="1153" t="s">
        <v>312</v>
      </c>
      <c r="AC334" s="1153" t="s">
        <v>540</v>
      </c>
      <c r="AD334" s="1153" t="s">
        <v>334</v>
      </c>
      <c r="AE334" s="1153" t="s">
        <v>541</v>
      </c>
      <c r="AF334" s="1153" t="s">
        <v>312</v>
      </c>
    </row>
    <row r="335" spans="1:32" s="1153" customFormat="1" ht="15" hidden="1" customHeight="1">
      <c r="A335" s="1153" t="s">
        <v>542</v>
      </c>
      <c r="B335" s="1153" t="s">
        <v>333</v>
      </c>
      <c r="C335" s="1153" t="s">
        <v>543</v>
      </c>
      <c r="D335" s="1153" t="s">
        <v>334</v>
      </c>
      <c r="G335" s="1153" t="s">
        <v>544</v>
      </c>
      <c r="H335" s="1153" t="s">
        <v>333</v>
      </c>
      <c r="M335" s="1153" t="s">
        <v>2218</v>
      </c>
      <c r="N335" s="1153" t="s">
        <v>332</v>
      </c>
      <c r="O335" s="1153" t="s">
        <v>2240</v>
      </c>
      <c r="P335" s="1153" t="s">
        <v>332</v>
      </c>
      <c r="Q335" s="1153" t="s">
        <v>546</v>
      </c>
      <c r="R335" s="1153" t="s">
        <v>312</v>
      </c>
      <c r="S335" s="1153" t="s">
        <v>547</v>
      </c>
      <c r="T335" s="1153" t="s">
        <v>332</v>
      </c>
      <c r="U335" s="1153" t="s">
        <v>548</v>
      </c>
      <c r="V335" s="1153" t="s">
        <v>333</v>
      </c>
      <c r="W335" s="1153" t="s">
        <v>2153</v>
      </c>
      <c r="X335" s="1153" t="s">
        <v>312</v>
      </c>
      <c r="Y335" s="1153" t="s">
        <v>550</v>
      </c>
      <c r="Z335" s="1153" t="s">
        <v>332</v>
      </c>
      <c r="AA335" s="1153" t="s">
        <v>551</v>
      </c>
      <c r="AB335" s="1153" t="s">
        <v>312</v>
      </c>
      <c r="AC335" s="1153" t="s">
        <v>552</v>
      </c>
      <c r="AD335" s="1153" t="s">
        <v>334</v>
      </c>
      <c r="AE335" s="1153" t="s">
        <v>553</v>
      </c>
      <c r="AF335" s="1153" t="s">
        <v>332</v>
      </c>
    </row>
    <row r="336" spans="1:32" s="1153" customFormat="1" ht="15" hidden="1" customHeight="1">
      <c r="A336" s="1153" t="s">
        <v>554</v>
      </c>
      <c r="B336" s="1153" t="s">
        <v>334</v>
      </c>
      <c r="C336" s="1153" t="s">
        <v>555</v>
      </c>
      <c r="D336" s="1153" t="s">
        <v>332</v>
      </c>
      <c r="G336" s="1153" t="s">
        <v>556</v>
      </c>
      <c r="H336" s="1153" t="s">
        <v>333</v>
      </c>
      <c r="M336" s="1153" t="s">
        <v>2219</v>
      </c>
      <c r="N336" s="1153" t="s">
        <v>335</v>
      </c>
      <c r="O336" s="1153" t="s">
        <v>2241</v>
      </c>
      <c r="P336" s="1153" t="s">
        <v>332</v>
      </c>
      <c r="Q336" s="1153" t="s">
        <v>558</v>
      </c>
      <c r="R336" s="1153" t="s">
        <v>332</v>
      </c>
      <c r="S336" s="1153" t="s">
        <v>559</v>
      </c>
      <c r="T336" s="1153" t="s">
        <v>332</v>
      </c>
      <c r="U336" s="1153" t="s">
        <v>560</v>
      </c>
      <c r="V336" s="1153" t="s">
        <v>333</v>
      </c>
      <c r="W336" s="1153" t="s">
        <v>2157</v>
      </c>
      <c r="X336" s="1153" t="s">
        <v>312</v>
      </c>
      <c r="Y336" s="1153" t="s">
        <v>562</v>
      </c>
      <c r="Z336" s="1153" t="s">
        <v>332</v>
      </c>
      <c r="AA336" s="1153" t="s">
        <v>563</v>
      </c>
      <c r="AB336" s="1153" t="s">
        <v>332</v>
      </c>
      <c r="AC336" s="1153" t="s">
        <v>564</v>
      </c>
      <c r="AD336" s="1153" t="s">
        <v>334</v>
      </c>
      <c r="AE336" s="1153" t="s">
        <v>565</v>
      </c>
      <c r="AF336" s="1153" t="s">
        <v>332</v>
      </c>
    </row>
    <row r="337" spans="1:32" s="1153" customFormat="1" ht="15" hidden="1" customHeight="1">
      <c r="A337" s="1153" t="s">
        <v>2237</v>
      </c>
      <c r="B337" s="1153" t="s">
        <v>332</v>
      </c>
      <c r="C337" s="1153" t="s">
        <v>567</v>
      </c>
      <c r="D337" s="1153" t="s">
        <v>312</v>
      </c>
      <c r="G337" s="1153" t="s">
        <v>568</v>
      </c>
      <c r="H337" s="1153" t="s">
        <v>335</v>
      </c>
      <c r="M337" s="1153" t="s">
        <v>2220</v>
      </c>
      <c r="N337" s="1153" t="s">
        <v>332</v>
      </c>
      <c r="O337" s="1153" t="s">
        <v>2242</v>
      </c>
      <c r="P337" s="1153" t="s">
        <v>332</v>
      </c>
      <c r="Q337" s="1153" t="s">
        <v>570</v>
      </c>
      <c r="R337" s="1153" t="s">
        <v>333</v>
      </c>
      <c r="S337" s="1153" t="s">
        <v>571</v>
      </c>
      <c r="T337" s="1153" t="s">
        <v>332</v>
      </c>
      <c r="U337" s="1153" t="s">
        <v>572</v>
      </c>
      <c r="V337" s="1153" t="s">
        <v>332</v>
      </c>
      <c r="W337" s="1153" t="s">
        <v>2154</v>
      </c>
      <c r="X337" s="1153" t="s">
        <v>332</v>
      </c>
      <c r="Y337" s="1153" t="s">
        <v>574</v>
      </c>
      <c r="Z337" s="1153" t="s">
        <v>332</v>
      </c>
      <c r="AA337" s="1153" t="s">
        <v>575</v>
      </c>
      <c r="AB337" s="1153" t="s">
        <v>312</v>
      </c>
      <c r="AC337" s="1153" t="s">
        <v>576</v>
      </c>
      <c r="AD337" s="1153" t="s">
        <v>333</v>
      </c>
      <c r="AE337" s="1153" t="s">
        <v>577</v>
      </c>
      <c r="AF337" s="1153" t="s">
        <v>332</v>
      </c>
    </row>
    <row r="338" spans="1:32" s="1153" customFormat="1" ht="15" hidden="1" customHeight="1">
      <c r="A338" s="1153" t="s">
        <v>566</v>
      </c>
      <c r="B338" s="1153" t="s">
        <v>333</v>
      </c>
      <c r="C338" s="1153" t="s">
        <v>579</v>
      </c>
      <c r="D338" s="1153" t="s">
        <v>334</v>
      </c>
      <c r="G338" s="1153" t="s">
        <v>580</v>
      </c>
      <c r="H338" s="1153" t="s">
        <v>332</v>
      </c>
      <c r="M338" s="1153" t="s">
        <v>2221</v>
      </c>
      <c r="N338" s="1153" t="s">
        <v>332</v>
      </c>
      <c r="O338" s="1153" t="s">
        <v>2243</v>
      </c>
      <c r="P338" s="1153" t="s">
        <v>333</v>
      </c>
      <c r="Q338" s="1153" t="s">
        <v>582</v>
      </c>
      <c r="R338" s="1153" t="s">
        <v>312</v>
      </c>
      <c r="S338" s="1153" t="s">
        <v>583</v>
      </c>
      <c r="T338" s="1153" t="s">
        <v>312</v>
      </c>
      <c r="U338" s="1153" t="s">
        <v>584</v>
      </c>
      <c r="V338" s="1153" t="s">
        <v>333</v>
      </c>
      <c r="W338" s="1153" t="s">
        <v>2155</v>
      </c>
      <c r="X338" s="1153" t="s">
        <v>312</v>
      </c>
      <c r="Y338" s="1153" t="s">
        <v>586</v>
      </c>
      <c r="Z338" s="1153" t="s">
        <v>333</v>
      </c>
      <c r="AA338" s="1153" t="s">
        <v>587</v>
      </c>
      <c r="AB338" s="1153" t="s">
        <v>332</v>
      </c>
      <c r="AC338" s="1153" t="s">
        <v>588</v>
      </c>
      <c r="AD338" s="1153" t="s">
        <v>334</v>
      </c>
      <c r="AE338" s="1153" t="s">
        <v>589</v>
      </c>
      <c r="AF338" s="1153" t="s">
        <v>334</v>
      </c>
    </row>
    <row r="339" spans="1:32" s="1153" customFormat="1" ht="15" hidden="1" customHeight="1">
      <c r="A339" s="1153" t="s">
        <v>578</v>
      </c>
      <c r="B339" s="1153" t="s">
        <v>333</v>
      </c>
      <c r="C339" s="1153" t="s">
        <v>591</v>
      </c>
      <c r="D339" s="1153" t="s">
        <v>312</v>
      </c>
      <c r="G339" s="1153" t="s">
        <v>592</v>
      </c>
      <c r="H339" s="1153" t="s">
        <v>332</v>
      </c>
      <c r="M339" s="1153" t="s">
        <v>2222</v>
      </c>
      <c r="N339" s="1153" t="s">
        <v>312</v>
      </c>
      <c r="O339" s="1153" t="s">
        <v>521</v>
      </c>
      <c r="P339" s="1153" t="s">
        <v>332</v>
      </c>
      <c r="Q339" s="1153" t="s">
        <v>594</v>
      </c>
      <c r="R339" s="1153" t="s">
        <v>332</v>
      </c>
      <c r="S339" s="1153" t="s">
        <v>595</v>
      </c>
      <c r="T339" s="1153" t="s">
        <v>334</v>
      </c>
      <c r="U339" s="1153" t="s">
        <v>596</v>
      </c>
      <c r="V339" s="1153" t="s">
        <v>333</v>
      </c>
      <c r="W339" s="1153" t="s">
        <v>2156</v>
      </c>
      <c r="X339" s="1153" t="s">
        <v>312</v>
      </c>
      <c r="Y339" s="1153" t="s">
        <v>598</v>
      </c>
      <c r="Z339" s="1153" t="s">
        <v>312</v>
      </c>
      <c r="AA339" s="1153" t="s">
        <v>599</v>
      </c>
      <c r="AB339" s="1153" t="s">
        <v>332</v>
      </c>
      <c r="AC339" s="1153" t="s">
        <v>600</v>
      </c>
      <c r="AD339" s="1153" t="s">
        <v>335</v>
      </c>
      <c r="AE339" s="1153" t="s">
        <v>2190</v>
      </c>
      <c r="AF339" s="1153" t="s">
        <v>312</v>
      </c>
    </row>
    <row r="340" spans="1:32" s="1153" customFormat="1" ht="15" hidden="1" customHeight="1">
      <c r="A340" s="1153" t="s">
        <v>590</v>
      </c>
      <c r="B340" s="1153" t="s">
        <v>333</v>
      </c>
      <c r="C340" s="1153" t="s">
        <v>603</v>
      </c>
      <c r="D340" s="1153" t="s">
        <v>335</v>
      </c>
      <c r="G340" s="1153" t="s">
        <v>604</v>
      </c>
      <c r="H340" s="1153" t="s">
        <v>333</v>
      </c>
      <c r="M340" s="1153" t="s">
        <v>2223</v>
      </c>
      <c r="N340" s="1153" t="s">
        <v>334</v>
      </c>
      <c r="O340" s="1153" t="s">
        <v>533</v>
      </c>
      <c r="P340" s="1153" t="s">
        <v>333</v>
      </c>
      <c r="Q340" s="1153" t="s">
        <v>606</v>
      </c>
      <c r="R340" s="1153" t="s">
        <v>332</v>
      </c>
      <c r="S340" s="1153" t="s">
        <v>607</v>
      </c>
      <c r="T340" s="1153" t="s">
        <v>332</v>
      </c>
      <c r="U340" s="1153" t="s">
        <v>608</v>
      </c>
      <c r="V340" s="1153" t="s">
        <v>332</v>
      </c>
      <c r="W340" s="1153" t="s">
        <v>549</v>
      </c>
      <c r="X340" s="1153" t="s">
        <v>312</v>
      </c>
      <c r="Y340" s="1153" t="s">
        <v>610</v>
      </c>
      <c r="Z340" s="1153" t="s">
        <v>332</v>
      </c>
      <c r="AA340" s="1153" t="s">
        <v>611</v>
      </c>
      <c r="AB340" s="1153" t="s">
        <v>333</v>
      </c>
      <c r="AC340" s="1153" t="s">
        <v>612</v>
      </c>
      <c r="AD340" s="1153" t="s">
        <v>332</v>
      </c>
      <c r="AE340" s="1153" t="s">
        <v>2191</v>
      </c>
      <c r="AF340" s="1153" t="s">
        <v>312</v>
      </c>
    </row>
    <row r="341" spans="1:32" s="1153" customFormat="1" ht="15" hidden="1" customHeight="1">
      <c r="A341" s="1153" t="s">
        <v>602</v>
      </c>
      <c r="B341" s="1153" t="s">
        <v>332</v>
      </c>
      <c r="C341" s="1153" t="s">
        <v>615</v>
      </c>
      <c r="D341" s="1153" t="s">
        <v>332</v>
      </c>
      <c r="G341" s="1153" t="s">
        <v>616</v>
      </c>
      <c r="H341" s="1153" t="s">
        <v>334</v>
      </c>
      <c r="M341" s="1153" t="s">
        <v>2224</v>
      </c>
      <c r="N341" s="1153" t="s">
        <v>312</v>
      </c>
      <c r="O341" s="1153" t="s">
        <v>545</v>
      </c>
      <c r="P341" s="1153" t="s">
        <v>332</v>
      </c>
      <c r="Q341" s="1153" t="s">
        <v>618</v>
      </c>
      <c r="R341" s="1153" t="s">
        <v>332</v>
      </c>
      <c r="S341" s="1153" t="s">
        <v>619</v>
      </c>
      <c r="T341" s="1153" t="s">
        <v>332</v>
      </c>
      <c r="U341" s="1153" t="s">
        <v>620</v>
      </c>
      <c r="V341" s="1153" t="s">
        <v>312</v>
      </c>
      <c r="W341" s="1153" t="s">
        <v>561</v>
      </c>
      <c r="X341" s="1153" t="s">
        <v>312</v>
      </c>
      <c r="Y341" s="1153" t="s">
        <v>622</v>
      </c>
      <c r="Z341" s="1153" t="s">
        <v>332</v>
      </c>
      <c r="AA341" s="1153" t="s">
        <v>623</v>
      </c>
      <c r="AB341" s="1153" t="s">
        <v>332</v>
      </c>
      <c r="AC341" s="1153" t="s">
        <v>624</v>
      </c>
      <c r="AD341" s="1153" t="s">
        <v>336</v>
      </c>
      <c r="AE341" s="1153" t="s">
        <v>2192</v>
      </c>
      <c r="AF341" s="1153" t="s">
        <v>312</v>
      </c>
    </row>
    <row r="342" spans="1:32" s="1153" customFormat="1" ht="15" hidden="1" customHeight="1">
      <c r="A342" s="1153" t="s">
        <v>614</v>
      </c>
      <c r="B342" s="1153" t="s">
        <v>334</v>
      </c>
      <c r="C342" s="1153" t="s">
        <v>627</v>
      </c>
      <c r="D342" s="1153" t="s">
        <v>332</v>
      </c>
      <c r="G342" s="1153" t="s">
        <v>628</v>
      </c>
      <c r="H342" s="1153" t="s">
        <v>332</v>
      </c>
      <c r="M342" s="1153" t="s">
        <v>2225</v>
      </c>
      <c r="N342" s="1153" t="s">
        <v>332</v>
      </c>
      <c r="O342" s="1153" t="s">
        <v>557</v>
      </c>
      <c r="P342" s="1153" t="s">
        <v>332</v>
      </c>
      <c r="Q342" s="1153" t="s">
        <v>630</v>
      </c>
      <c r="R342" s="1153" t="s">
        <v>312</v>
      </c>
      <c r="S342" s="1153" t="s">
        <v>631</v>
      </c>
      <c r="T342" s="1153" t="s">
        <v>332</v>
      </c>
      <c r="U342" s="1153" t="s">
        <v>632</v>
      </c>
      <c r="V342" s="1153" t="s">
        <v>335</v>
      </c>
      <c r="W342" s="1153" t="s">
        <v>573</v>
      </c>
      <c r="X342" s="1153" t="s">
        <v>312</v>
      </c>
      <c r="Y342" s="1153" t="s">
        <v>634</v>
      </c>
      <c r="Z342" s="1153" t="s">
        <v>332</v>
      </c>
      <c r="AA342" s="1153" t="s">
        <v>635</v>
      </c>
      <c r="AB342" s="1153" t="s">
        <v>312</v>
      </c>
      <c r="AC342" s="1153" t="s">
        <v>636</v>
      </c>
      <c r="AD342" s="1153" t="s">
        <v>312</v>
      </c>
      <c r="AE342" s="1153" t="s">
        <v>2193</v>
      </c>
      <c r="AF342" s="1153" t="s">
        <v>312</v>
      </c>
    </row>
    <row r="343" spans="1:32" s="1153" customFormat="1" ht="15" hidden="1" customHeight="1">
      <c r="A343" s="1153" t="s">
        <v>626</v>
      </c>
      <c r="B343" s="1153" t="s">
        <v>332</v>
      </c>
      <c r="C343" s="1153" t="s">
        <v>639</v>
      </c>
      <c r="D343" s="1153" t="s">
        <v>333</v>
      </c>
      <c r="G343" s="1153" t="s">
        <v>640</v>
      </c>
      <c r="H343" s="1153" t="s">
        <v>335</v>
      </c>
      <c r="M343" s="1153" t="s">
        <v>2226</v>
      </c>
      <c r="N343" s="1153" t="s">
        <v>334</v>
      </c>
      <c r="O343" s="1153" t="s">
        <v>569</v>
      </c>
      <c r="P343" s="1153" t="s">
        <v>312</v>
      </c>
      <c r="Q343" s="1153" t="s">
        <v>642</v>
      </c>
      <c r="R343" s="1153" t="s">
        <v>332</v>
      </c>
      <c r="S343" s="1153" t="s">
        <v>643</v>
      </c>
      <c r="T343" s="1153" t="s">
        <v>332</v>
      </c>
      <c r="U343" s="1153" t="s">
        <v>644</v>
      </c>
      <c r="V343" s="1153" t="s">
        <v>332</v>
      </c>
      <c r="W343" s="1153" t="s">
        <v>585</v>
      </c>
      <c r="X343" s="1153" t="s">
        <v>312</v>
      </c>
      <c r="Y343" s="1153" t="s">
        <v>646</v>
      </c>
      <c r="Z343" s="1153" t="s">
        <v>332</v>
      </c>
      <c r="AA343" s="1153" t="s">
        <v>647</v>
      </c>
      <c r="AB343" s="1153" t="s">
        <v>312</v>
      </c>
      <c r="AC343" s="1153" t="s">
        <v>648</v>
      </c>
      <c r="AD343" s="1153" t="s">
        <v>333</v>
      </c>
      <c r="AE343" s="1153" t="s">
        <v>2194</v>
      </c>
      <c r="AF343" s="1153" t="s">
        <v>312</v>
      </c>
    </row>
    <row r="344" spans="1:32" s="1153" customFormat="1" ht="15" hidden="1" customHeight="1">
      <c r="A344" s="1153" t="s">
        <v>638</v>
      </c>
      <c r="B344" s="1153" t="s">
        <v>333</v>
      </c>
      <c r="C344" s="1153" t="s">
        <v>651</v>
      </c>
      <c r="D344" s="1153" t="s">
        <v>333</v>
      </c>
      <c r="G344" s="1153" t="s">
        <v>652</v>
      </c>
      <c r="H344" s="1153" t="s">
        <v>332</v>
      </c>
      <c r="M344" s="1153" t="s">
        <v>2227</v>
      </c>
      <c r="N344" s="1153" t="s">
        <v>312</v>
      </c>
      <c r="O344" s="1153" t="s">
        <v>581</v>
      </c>
      <c r="P344" s="1153" t="s">
        <v>332</v>
      </c>
      <c r="Q344" s="1153" t="s">
        <v>654</v>
      </c>
      <c r="R344" s="1153" t="s">
        <v>332</v>
      </c>
      <c r="S344" s="1153" t="s">
        <v>655</v>
      </c>
      <c r="T344" s="1153" t="s">
        <v>332</v>
      </c>
      <c r="U344" s="1153" t="s">
        <v>656</v>
      </c>
      <c r="V344" s="1153" t="s">
        <v>333</v>
      </c>
      <c r="W344" s="1153" t="s">
        <v>597</v>
      </c>
      <c r="X344" s="1153" t="s">
        <v>312</v>
      </c>
      <c r="Y344" s="1153" t="s">
        <v>658</v>
      </c>
      <c r="Z344" s="1153" t="s">
        <v>332</v>
      </c>
      <c r="AA344" s="1153" t="s">
        <v>659</v>
      </c>
      <c r="AB344" s="1153" t="s">
        <v>312</v>
      </c>
      <c r="AC344" s="1153" t="s">
        <v>660</v>
      </c>
      <c r="AD344" s="1153" t="s">
        <v>333</v>
      </c>
      <c r="AE344" s="1153" t="s">
        <v>2195</v>
      </c>
      <c r="AF344" s="1153" t="s">
        <v>332</v>
      </c>
    </row>
    <row r="345" spans="1:32" s="1153" customFormat="1" ht="15" hidden="1" customHeight="1">
      <c r="A345" s="1153" t="s">
        <v>650</v>
      </c>
      <c r="B345" s="1153" t="s">
        <v>334</v>
      </c>
      <c r="C345" s="1153" t="s">
        <v>663</v>
      </c>
      <c r="D345" s="1153" t="s">
        <v>333</v>
      </c>
      <c r="G345" s="1153" t="s">
        <v>664</v>
      </c>
      <c r="H345" s="1153" t="s">
        <v>333</v>
      </c>
      <c r="M345" s="1153" t="s">
        <v>2228</v>
      </c>
      <c r="N345" s="1153" t="s">
        <v>332</v>
      </c>
      <c r="O345" s="1153" t="s">
        <v>593</v>
      </c>
      <c r="P345" s="1153" t="s">
        <v>334</v>
      </c>
      <c r="Q345" s="1153" t="s">
        <v>665</v>
      </c>
      <c r="R345" s="1153" t="s">
        <v>312</v>
      </c>
      <c r="S345" s="1153" t="s">
        <v>666</v>
      </c>
      <c r="T345" s="1153" t="s">
        <v>332</v>
      </c>
      <c r="U345" s="1153" t="s">
        <v>667</v>
      </c>
      <c r="V345" s="1153" t="s">
        <v>333</v>
      </c>
      <c r="W345" s="1153" t="s">
        <v>609</v>
      </c>
      <c r="X345" s="1153" t="s">
        <v>332</v>
      </c>
      <c r="Y345" s="1153" t="s">
        <v>669</v>
      </c>
      <c r="Z345" s="1153" t="s">
        <v>332</v>
      </c>
      <c r="AA345" s="1153" t="s">
        <v>670</v>
      </c>
      <c r="AB345" s="1153" t="s">
        <v>312</v>
      </c>
      <c r="AC345" s="1153" t="s">
        <v>671</v>
      </c>
      <c r="AD345" s="1153" t="s">
        <v>334</v>
      </c>
      <c r="AE345" s="1153" t="s">
        <v>2196</v>
      </c>
      <c r="AF345" s="1153" t="s">
        <v>312</v>
      </c>
    </row>
    <row r="346" spans="1:32" s="1153" customFormat="1" ht="15" hidden="1" customHeight="1">
      <c r="A346" s="1153" t="s">
        <v>662</v>
      </c>
      <c r="B346" s="1153" t="s">
        <v>333</v>
      </c>
      <c r="C346" s="1153" t="s">
        <v>674</v>
      </c>
      <c r="D346" s="1153" t="s">
        <v>334</v>
      </c>
      <c r="G346" s="1153" t="s">
        <v>675</v>
      </c>
      <c r="H346" s="1153" t="s">
        <v>334</v>
      </c>
      <c r="M346" s="1153" t="s">
        <v>2229</v>
      </c>
      <c r="N346" s="1153" t="s">
        <v>334</v>
      </c>
      <c r="O346" s="1153" t="s">
        <v>605</v>
      </c>
      <c r="P346" s="1153" t="s">
        <v>333</v>
      </c>
      <c r="Q346" s="1153" t="s">
        <v>676</v>
      </c>
      <c r="R346" s="1153" t="s">
        <v>312</v>
      </c>
      <c r="S346" s="1153" t="s">
        <v>677</v>
      </c>
      <c r="T346" s="1153" t="s">
        <v>312</v>
      </c>
      <c r="U346" s="1153" t="s">
        <v>2129</v>
      </c>
      <c r="V346" s="1153" t="s">
        <v>312</v>
      </c>
      <c r="W346" s="1153" t="s">
        <v>621</v>
      </c>
      <c r="X346" s="1153" t="s">
        <v>332</v>
      </c>
      <c r="Y346" s="1153" t="s">
        <v>680</v>
      </c>
      <c r="Z346" s="1153" t="s">
        <v>332</v>
      </c>
      <c r="AA346" s="1153" t="s">
        <v>681</v>
      </c>
      <c r="AB346" s="1153" t="s">
        <v>332</v>
      </c>
      <c r="AC346" s="1153" t="s">
        <v>682</v>
      </c>
      <c r="AD346" s="1153" t="s">
        <v>333</v>
      </c>
      <c r="AE346" s="1153" t="s">
        <v>2197</v>
      </c>
      <c r="AF346" s="1153" t="s">
        <v>312</v>
      </c>
    </row>
    <row r="347" spans="1:32" s="1153" customFormat="1" ht="15" hidden="1" customHeight="1">
      <c r="A347" s="1153" t="s">
        <v>673</v>
      </c>
      <c r="B347" s="1153" t="s">
        <v>335</v>
      </c>
      <c r="C347" s="1153" t="s">
        <v>685</v>
      </c>
      <c r="D347" s="1153" t="s">
        <v>332</v>
      </c>
      <c r="G347" s="1153" t="s">
        <v>686</v>
      </c>
      <c r="H347" s="1153" t="s">
        <v>335</v>
      </c>
      <c r="M347" s="1153" t="s">
        <v>2230</v>
      </c>
      <c r="N347" s="1153" t="s">
        <v>332</v>
      </c>
      <c r="O347" s="1153" t="s">
        <v>617</v>
      </c>
      <c r="P347" s="1153" t="s">
        <v>333</v>
      </c>
      <c r="Q347" s="1153" t="s">
        <v>687</v>
      </c>
      <c r="R347" s="1153" t="s">
        <v>312</v>
      </c>
      <c r="S347" s="1153" t="s">
        <v>688</v>
      </c>
      <c r="T347" s="1153" t="s">
        <v>332</v>
      </c>
      <c r="U347" s="1153" t="s">
        <v>2130</v>
      </c>
      <c r="V347" s="1153" t="s">
        <v>312</v>
      </c>
      <c r="W347" s="1153" t="s">
        <v>633</v>
      </c>
      <c r="X347" s="1153" t="s">
        <v>332</v>
      </c>
      <c r="Y347" s="1153" t="s">
        <v>691</v>
      </c>
      <c r="Z347" s="1153" t="s">
        <v>312</v>
      </c>
      <c r="AA347" s="1153" t="s">
        <v>2168</v>
      </c>
      <c r="AB347" s="1153" t="s">
        <v>312</v>
      </c>
      <c r="AC347" s="1153" t="s">
        <v>693</v>
      </c>
      <c r="AD347" s="1153" t="s">
        <v>333</v>
      </c>
      <c r="AE347" s="1153" t="s">
        <v>2198</v>
      </c>
      <c r="AF347" s="1153" t="s">
        <v>332</v>
      </c>
    </row>
    <row r="348" spans="1:32" s="1153" customFormat="1" ht="15" hidden="1" customHeight="1">
      <c r="A348" s="1153" t="s">
        <v>684</v>
      </c>
      <c r="B348" s="1153" t="s">
        <v>333</v>
      </c>
      <c r="C348" s="1153" t="s">
        <v>696</v>
      </c>
      <c r="D348" s="1153" t="s">
        <v>333</v>
      </c>
      <c r="G348" s="1153" t="s">
        <v>697</v>
      </c>
      <c r="H348" s="1153" t="s">
        <v>312</v>
      </c>
      <c r="M348" s="1153" t="s">
        <v>2231</v>
      </c>
      <c r="N348" s="1153" t="s">
        <v>333</v>
      </c>
      <c r="O348" s="1153" t="s">
        <v>629</v>
      </c>
      <c r="P348" s="1153" t="s">
        <v>333</v>
      </c>
      <c r="Q348" s="1153" t="s">
        <v>698</v>
      </c>
      <c r="R348" s="1153" t="s">
        <v>312</v>
      </c>
      <c r="S348" s="1153" t="s">
        <v>699</v>
      </c>
      <c r="T348" s="1153" t="s">
        <v>332</v>
      </c>
      <c r="U348" s="1153" t="s">
        <v>2131</v>
      </c>
      <c r="V348" s="1153" t="s">
        <v>332</v>
      </c>
      <c r="W348" s="1153" t="s">
        <v>645</v>
      </c>
      <c r="X348" s="1153" t="s">
        <v>312</v>
      </c>
      <c r="Y348" s="1153" t="s">
        <v>702</v>
      </c>
      <c r="Z348" s="1153" t="s">
        <v>332</v>
      </c>
      <c r="AA348" s="1153" t="s">
        <v>2169</v>
      </c>
      <c r="AB348" s="1153" t="s">
        <v>332</v>
      </c>
      <c r="AC348" s="1153" t="s">
        <v>704</v>
      </c>
      <c r="AD348" s="1153" t="s">
        <v>334</v>
      </c>
      <c r="AE348" s="1153" t="s">
        <v>2199</v>
      </c>
      <c r="AF348" s="1153" t="s">
        <v>332</v>
      </c>
    </row>
    <row r="349" spans="1:32" s="1153" customFormat="1" ht="15" hidden="1" customHeight="1">
      <c r="A349" s="1153" t="s">
        <v>695</v>
      </c>
      <c r="B349" s="1153" t="s">
        <v>332</v>
      </c>
      <c r="C349" s="1153" t="s">
        <v>707</v>
      </c>
      <c r="D349" s="1153" t="s">
        <v>312</v>
      </c>
      <c r="G349" s="1153" t="s">
        <v>708</v>
      </c>
      <c r="H349" s="1153" t="s">
        <v>335</v>
      </c>
      <c r="M349" s="1153" t="s">
        <v>2233</v>
      </c>
      <c r="N349" s="1153" t="s">
        <v>332</v>
      </c>
      <c r="O349" s="1153" t="s">
        <v>641</v>
      </c>
      <c r="P349" s="1153" t="s">
        <v>333</v>
      </c>
      <c r="Q349" s="1153" t="s">
        <v>709</v>
      </c>
      <c r="R349" s="1153" t="s">
        <v>332</v>
      </c>
      <c r="S349" s="1153" t="s">
        <v>710</v>
      </c>
      <c r="T349" s="1153" t="s">
        <v>332</v>
      </c>
      <c r="U349" s="1153" t="s">
        <v>2132</v>
      </c>
      <c r="V349" s="1153" t="s">
        <v>332</v>
      </c>
      <c r="W349" s="1153" t="s">
        <v>657</v>
      </c>
      <c r="X349" s="1153" t="s">
        <v>312</v>
      </c>
      <c r="Y349" s="1153" t="s">
        <v>713</v>
      </c>
      <c r="Z349" s="1153" t="s">
        <v>332</v>
      </c>
      <c r="AA349" s="1153" t="s">
        <v>2170</v>
      </c>
      <c r="AB349" s="1153" t="s">
        <v>312</v>
      </c>
      <c r="AC349" s="1153" t="s">
        <v>715</v>
      </c>
      <c r="AD349" s="1153" t="s">
        <v>335</v>
      </c>
      <c r="AE349" s="1153" t="s">
        <v>2200</v>
      </c>
      <c r="AF349" s="1153" t="s">
        <v>332</v>
      </c>
    </row>
    <row r="350" spans="1:32" s="1153" customFormat="1" ht="15" hidden="1" customHeight="1">
      <c r="A350" s="1153" t="s">
        <v>706</v>
      </c>
      <c r="B350" s="1153" t="s">
        <v>334</v>
      </c>
      <c r="C350" s="1153" t="s">
        <v>718</v>
      </c>
      <c r="D350" s="1153" t="s">
        <v>312</v>
      </c>
      <c r="G350" s="1153" t="s">
        <v>719</v>
      </c>
      <c r="H350" s="1153" t="s">
        <v>332</v>
      </c>
      <c r="M350" s="1153" t="s">
        <v>2232</v>
      </c>
      <c r="N350" s="1153" t="s">
        <v>335</v>
      </c>
      <c r="O350" s="1153" t="s">
        <v>653</v>
      </c>
      <c r="P350" s="1153" t="s">
        <v>333</v>
      </c>
      <c r="Q350" s="1153" t="s">
        <v>720</v>
      </c>
      <c r="R350" s="1153" t="s">
        <v>332</v>
      </c>
      <c r="S350" s="1153" t="s">
        <v>721</v>
      </c>
      <c r="T350" s="1153" t="s">
        <v>333</v>
      </c>
      <c r="U350" s="1153" t="s">
        <v>2133</v>
      </c>
      <c r="V350" s="1153" t="s">
        <v>312</v>
      </c>
      <c r="W350" s="1153" t="s">
        <v>668</v>
      </c>
      <c r="X350" s="1153" t="s">
        <v>332</v>
      </c>
      <c r="Y350" s="1153" t="s">
        <v>724</v>
      </c>
      <c r="Z350" s="1153" t="s">
        <v>332</v>
      </c>
      <c r="AA350" s="1153" t="s">
        <v>2171</v>
      </c>
      <c r="AB350" s="1153" t="s">
        <v>312</v>
      </c>
      <c r="AC350" s="1153" t="s">
        <v>2179</v>
      </c>
      <c r="AD350" s="1153" t="s">
        <v>312</v>
      </c>
      <c r="AE350" s="1153" t="s">
        <v>2201</v>
      </c>
      <c r="AF350" s="1153" t="s">
        <v>312</v>
      </c>
    </row>
    <row r="351" spans="1:32" s="1153" customFormat="1" ht="15" hidden="1" customHeight="1">
      <c r="A351" s="1153" t="s">
        <v>717</v>
      </c>
      <c r="B351" s="1153" t="s">
        <v>335</v>
      </c>
      <c r="C351" s="1153" t="s">
        <v>729</v>
      </c>
      <c r="D351" s="1153" t="s">
        <v>332</v>
      </c>
      <c r="G351" s="1153" t="s">
        <v>730</v>
      </c>
      <c r="H351" s="1153" t="s">
        <v>333</v>
      </c>
      <c r="M351" s="1153" t="s">
        <v>2234</v>
      </c>
      <c r="N351" s="1153" t="s">
        <v>332</v>
      </c>
      <c r="Q351" s="1153" t="s">
        <v>731</v>
      </c>
      <c r="R351" s="1153" t="s">
        <v>312</v>
      </c>
      <c r="S351" s="1153" t="s">
        <v>732</v>
      </c>
      <c r="T351" s="1153" t="s">
        <v>332</v>
      </c>
      <c r="U351" s="1153" t="s">
        <v>2134</v>
      </c>
      <c r="V351" s="1153" t="s">
        <v>312</v>
      </c>
      <c r="W351" s="1153" t="s">
        <v>679</v>
      </c>
      <c r="X351" s="1153" t="s">
        <v>332</v>
      </c>
      <c r="Y351" s="1153" t="s">
        <v>735</v>
      </c>
      <c r="Z351" s="1153" t="s">
        <v>332</v>
      </c>
      <c r="AA351" s="1153" t="s">
        <v>2172</v>
      </c>
      <c r="AB351" s="1153" t="s">
        <v>312</v>
      </c>
      <c r="AC351" s="1153" t="s">
        <v>2180</v>
      </c>
      <c r="AD351" s="1153" t="s">
        <v>333</v>
      </c>
      <c r="AE351" s="1153" t="s">
        <v>2202</v>
      </c>
      <c r="AF351" s="1153" t="s">
        <v>312</v>
      </c>
    </row>
    <row r="352" spans="1:32" s="1153" customFormat="1" ht="15" hidden="1" customHeight="1">
      <c r="A352" s="1153" t="s">
        <v>728</v>
      </c>
      <c r="B352" s="1153" t="s">
        <v>332</v>
      </c>
      <c r="C352" s="1153" t="s">
        <v>740</v>
      </c>
      <c r="D352" s="1153" t="s">
        <v>332</v>
      </c>
      <c r="G352" s="1153" t="s">
        <v>2039</v>
      </c>
      <c r="H352" s="1153" t="s">
        <v>332</v>
      </c>
      <c r="M352" s="1153" t="s">
        <v>2235</v>
      </c>
      <c r="N352" s="1153" t="s">
        <v>336</v>
      </c>
      <c r="Q352" s="1153" t="s">
        <v>742</v>
      </c>
      <c r="R352" s="1153" t="s">
        <v>334</v>
      </c>
      <c r="S352" s="1153" t="s">
        <v>743</v>
      </c>
      <c r="T352" s="1153" t="s">
        <v>333</v>
      </c>
      <c r="U352" s="1153" t="s">
        <v>2135</v>
      </c>
      <c r="V352" s="1153" t="s">
        <v>312</v>
      </c>
      <c r="W352" s="1153" t="s">
        <v>690</v>
      </c>
      <c r="X352" s="1153" t="s">
        <v>312</v>
      </c>
      <c r="Y352" s="1153" t="s">
        <v>746</v>
      </c>
      <c r="Z352" s="1153" t="s">
        <v>332</v>
      </c>
      <c r="AA352" s="1153" t="s">
        <v>2173</v>
      </c>
      <c r="AB352" s="1153" t="s">
        <v>332</v>
      </c>
      <c r="AC352" s="1153" t="s">
        <v>2181</v>
      </c>
      <c r="AD352" s="1153" t="s">
        <v>332</v>
      </c>
      <c r="AE352" s="1153" t="s">
        <v>2203</v>
      </c>
      <c r="AF352" s="1153" t="s">
        <v>312</v>
      </c>
    </row>
    <row r="353" spans="1:32" s="1153" customFormat="1" ht="15" hidden="1" customHeight="1">
      <c r="A353" s="1153" t="s">
        <v>739</v>
      </c>
      <c r="B353" s="1153" t="s">
        <v>333</v>
      </c>
      <c r="C353" s="1153" t="s">
        <v>751</v>
      </c>
      <c r="D353" s="1153" t="s">
        <v>312</v>
      </c>
      <c r="G353" s="1153" t="s">
        <v>2040</v>
      </c>
      <c r="H353" s="1153" t="s">
        <v>332</v>
      </c>
      <c r="M353" s="1153" t="s">
        <v>2236</v>
      </c>
      <c r="N353" s="1153" t="s">
        <v>312</v>
      </c>
      <c r="Q353" s="1153" t="s">
        <v>753</v>
      </c>
      <c r="R353" s="1153" t="s">
        <v>332</v>
      </c>
      <c r="S353" s="1153" t="s">
        <v>754</v>
      </c>
      <c r="T353" s="1153" t="s">
        <v>335</v>
      </c>
      <c r="U353" s="1153" t="s">
        <v>2136</v>
      </c>
      <c r="V353" s="1153" t="s">
        <v>312</v>
      </c>
      <c r="W353" s="1153" t="s">
        <v>701</v>
      </c>
      <c r="X353" s="1153" t="s">
        <v>332</v>
      </c>
      <c r="Y353" s="1153" t="s">
        <v>757</v>
      </c>
      <c r="Z353" s="1153" t="s">
        <v>332</v>
      </c>
      <c r="AA353" s="1153" t="s">
        <v>2174</v>
      </c>
      <c r="AB353" s="1153" t="s">
        <v>312</v>
      </c>
      <c r="AC353" s="1153" t="s">
        <v>2182</v>
      </c>
      <c r="AD353" s="1153" t="s">
        <v>333</v>
      </c>
      <c r="AE353" s="1153" t="s">
        <v>2204</v>
      </c>
      <c r="AF353" s="1153" t="s">
        <v>312</v>
      </c>
    </row>
    <row r="354" spans="1:32" s="1153" customFormat="1" ht="15" hidden="1" customHeight="1">
      <c r="A354" s="1153" t="s">
        <v>750</v>
      </c>
      <c r="B354" s="1153" t="s">
        <v>334</v>
      </c>
      <c r="C354" s="1153" t="s">
        <v>762</v>
      </c>
      <c r="D354" s="1153" t="s">
        <v>332</v>
      </c>
      <c r="G354" s="1153" t="s">
        <v>2041</v>
      </c>
      <c r="H354" s="1153" t="s">
        <v>312</v>
      </c>
      <c r="M354" s="1153" t="s">
        <v>764</v>
      </c>
      <c r="N354" s="1153" t="s">
        <v>334</v>
      </c>
      <c r="Q354" s="1153" t="s">
        <v>765</v>
      </c>
      <c r="R354" s="1153" t="s">
        <v>336</v>
      </c>
      <c r="S354" s="1153" t="s">
        <v>766</v>
      </c>
      <c r="T354" s="1153" t="s">
        <v>333</v>
      </c>
      <c r="U354" s="1153" t="s">
        <v>2137</v>
      </c>
      <c r="V354" s="1153" t="s">
        <v>332</v>
      </c>
      <c r="W354" s="1153" t="s">
        <v>712</v>
      </c>
      <c r="X354" s="1153" t="s">
        <v>333</v>
      </c>
      <c r="Y354" s="1153" t="s">
        <v>769</v>
      </c>
      <c r="Z354" s="1153" t="s">
        <v>312</v>
      </c>
      <c r="AA354" s="1153" t="s">
        <v>2175</v>
      </c>
      <c r="AB354" s="1153" t="s">
        <v>332</v>
      </c>
      <c r="AC354" s="1153" t="s">
        <v>2183</v>
      </c>
      <c r="AD354" s="1153" t="s">
        <v>334</v>
      </c>
      <c r="AE354" s="1153" t="s">
        <v>2205</v>
      </c>
      <c r="AF354" s="1153" t="s">
        <v>312</v>
      </c>
    </row>
    <row r="355" spans="1:32" s="1153" customFormat="1" ht="15" hidden="1" customHeight="1">
      <c r="A355" s="1153" t="s">
        <v>761</v>
      </c>
      <c r="B355" s="1153" t="s">
        <v>333</v>
      </c>
      <c r="C355" s="1153" t="s">
        <v>774</v>
      </c>
      <c r="D355" s="1153" t="s">
        <v>336</v>
      </c>
      <c r="G355" s="1153" t="s">
        <v>2042</v>
      </c>
      <c r="H355" s="1153" t="s">
        <v>332</v>
      </c>
      <c r="M355" s="1153" t="s">
        <v>776</v>
      </c>
      <c r="N355" s="1153" t="s">
        <v>335</v>
      </c>
      <c r="Q355" s="1153" t="s">
        <v>777</v>
      </c>
      <c r="R355" s="1153" t="s">
        <v>332</v>
      </c>
      <c r="S355" s="1153" t="s">
        <v>778</v>
      </c>
      <c r="T355" s="1153" t="s">
        <v>332</v>
      </c>
      <c r="U355" s="1153" t="s">
        <v>2138</v>
      </c>
      <c r="V355" s="1153" t="s">
        <v>312</v>
      </c>
      <c r="W355" s="1153" t="s">
        <v>723</v>
      </c>
      <c r="X355" s="1153" t="s">
        <v>333</v>
      </c>
      <c r="Y355" s="1153" t="s">
        <v>2158</v>
      </c>
      <c r="Z355" s="1153" t="s">
        <v>312</v>
      </c>
      <c r="AA355" s="1153" t="s">
        <v>2176</v>
      </c>
      <c r="AB355" s="1153" t="s">
        <v>332</v>
      </c>
      <c r="AC355" s="1153" t="s">
        <v>2184</v>
      </c>
      <c r="AD355" s="1153" t="s">
        <v>333</v>
      </c>
      <c r="AE355" s="1153" t="s">
        <v>2206</v>
      </c>
      <c r="AF355" s="1153" t="s">
        <v>332</v>
      </c>
    </row>
    <row r="356" spans="1:32" s="1153" customFormat="1" ht="15" hidden="1" customHeight="1">
      <c r="A356" s="1153" t="s">
        <v>773</v>
      </c>
      <c r="B356" s="1153" t="s">
        <v>333</v>
      </c>
      <c r="C356" s="1153" t="s">
        <v>786</v>
      </c>
      <c r="D356" s="1153" t="s">
        <v>332</v>
      </c>
      <c r="G356" s="1153" t="s">
        <v>2043</v>
      </c>
      <c r="H356" s="1153" t="s">
        <v>312</v>
      </c>
      <c r="M356" s="1153" t="s">
        <v>788</v>
      </c>
      <c r="N356" s="1153" t="s">
        <v>332</v>
      </c>
      <c r="Q356" s="1153" t="s">
        <v>789</v>
      </c>
      <c r="R356" s="1153" t="s">
        <v>333</v>
      </c>
      <c r="S356" s="1153" t="s">
        <v>790</v>
      </c>
      <c r="T356" s="1153" t="s">
        <v>312</v>
      </c>
      <c r="U356" s="1153" t="s">
        <v>2139</v>
      </c>
      <c r="V356" s="1153" t="s">
        <v>332</v>
      </c>
      <c r="W356" s="1153" t="s">
        <v>734</v>
      </c>
      <c r="X356" s="1153" t="s">
        <v>312</v>
      </c>
      <c r="Y356" s="1153" t="s">
        <v>2159</v>
      </c>
      <c r="Z356" s="1153" t="s">
        <v>312</v>
      </c>
      <c r="AA356" s="1153" t="s">
        <v>2177</v>
      </c>
      <c r="AB356" s="1153" t="s">
        <v>312</v>
      </c>
      <c r="AC356" s="1153" t="s">
        <v>2185</v>
      </c>
      <c r="AD356" s="1153" t="s">
        <v>332</v>
      </c>
      <c r="AE356" s="1153" t="s">
        <v>601</v>
      </c>
      <c r="AF356" s="1153" t="s">
        <v>312</v>
      </c>
    </row>
    <row r="357" spans="1:32" s="1153" customFormat="1" ht="15" hidden="1" customHeight="1">
      <c r="A357" s="1153" t="s">
        <v>785</v>
      </c>
      <c r="B357" s="1153" t="s">
        <v>334</v>
      </c>
      <c r="C357" s="1153" t="s">
        <v>798</v>
      </c>
      <c r="D357" s="1153" t="s">
        <v>334</v>
      </c>
      <c r="G357" s="1153" t="s">
        <v>2044</v>
      </c>
      <c r="H357" s="1153" t="s">
        <v>332</v>
      </c>
      <c r="M357" s="1153" t="s">
        <v>800</v>
      </c>
      <c r="N357" s="1153" t="s">
        <v>335</v>
      </c>
      <c r="Q357" s="1153" t="s">
        <v>801</v>
      </c>
      <c r="R357" s="1153" t="s">
        <v>334</v>
      </c>
      <c r="S357" s="1153" t="s">
        <v>802</v>
      </c>
      <c r="T357" s="1153" t="s">
        <v>312</v>
      </c>
      <c r="U357" s="1153" t="s">
        <v>2140</v>
      </c>
      <c r="V357" s="1153" t="s">
        <v>332</v>
      </c>
      <c r="W357" s="1153" t="s">
        <v>745</v>
      </c>
      <c r="X357" s="1153" t="s">
        <v>332</v>
      </c>
      <c r="Y357" s="1153" t="s">
        <v>2160</v>
      </c>
      <c r="Z357" s="1153" t="s">
        <v>312</v>
      </c>
      <c r="AA357" s="1153" t="s">
        <v>2178</v>
      </c>
      <c r="AB357" s="1153" t="s">
        <v>312</v>
      </c>
      <c r="AC357" s="1153" t="s">
        <v>2186</v>
      </c>
      <c r="AD357" s="1153" t="s">
        <v>312</v>
      </c>
      <c r="AE357" s="1153" t="s">
        <v>613</v>
      </c>
      <c r="AF357" s="1153" t="s">
        <v>332</v>
      </c>
    </row>
    <row r="358" spans="1:32" s="1153" customFormat="1" ht="15" hidden="1" customHeight="1">
      <c r="A358" s="1153" t="s">
        <v>797</v>
      </c>
      <c r="B358" s="1153" t="s">
        <v>334</v>
      </c>
      <c r="C358" s="1153" t="s">
        <v>809</v>
      </c>
      <c r="D358" s="1153" t="s">
        <v>332</v>
      </c>
      <c r="G358" s="1153" t="s">
        <v>2045</v>
      </c>
      <c r="H358" s="1153" t="s">
        <v>332</v>
      </c>
      <c r="M358" s="1153" t="s">
        <v>811</v>
      </c>
      <c r="N358" s="1153" t="s">
        <v>335</v>
      </c>
      <c r="Q358" s="1153" t="s">
        <v>812</v>
      </c>
      <c r="R358" s="1153" t="s">
        <v>335</v>
      </c>
      <c r="S358" s="1153" t="s">
        <v>813</v>
      </c>
      <c r="T358" s="1153" t="s">
        <v>333</v>
      </c>
      <c r="U358" s="1153" t="s">
        <v>2141</v>
      </c>
      <c r="V358" s="1153" t="s">
        <v>312</v>
      </c>
      <c r="W358" s="1153" t="s">
        <v>756</v>
      </c>
      <c r="X358" s="1153" t="s">
        <v>312</v>
      </c>
      <c r="Y358" s="1153" t="s">
        <v>2161</v>
      </c>
      <c r="Z358" s="1153" t="s">
        <v>332</v>
      </c>
      <c r="AA358" s="1153" t="s">
        <v>692</v>
      </c>
      <c r="AB358" s="1153" t="s">
        <v>312</v>
      </c>
      <c r="AC358" s="1153" t="s">
        <v>2187</v>
      </c>
      <c r="AD358" s="1153" t="s">
        <v>333</v>
      </c>
      <c r="AE358" s="1153" t="s">
        <v>625</v>
      </c>
      <c r="AF358" s="1153" t="s">
        <v>332</v>
      </c>
    </row>
    <row r="359" spans="1:32" s="1153" customFormat="1" ht="15" hidden="1" customHeight="1">
      <c r="A359" s="1153" t="s">
        <v>808</v>
      </c>
      <c r="B359" s="1153" t="s">
        <v>332</v>
      </c>
      <c r="C359" s="1153" t="s">
        <v>820</v>
      </c>
      <c r="D359" s="1153" t="s">
        <v>332</v>
      </c>
      <c r="G359" s="1153" t="s">
        <v>2046</v>
      </c>
      <c r="H359" s="1153" t="s">
        <v>332</v>
      </c>
      <c r="M359" s="1153" t="s">
        <v>822</v>
      </c>
      <c r="N359" s="1153" t="s">
        <v>312</v>
      </c>
      <c r="Q359" s="1153" t="s">
        <v>823</v>
      </c>
      <c r="R359" s="1153" t="s">
        <v>333</v>
      </c>
      <c r="S359" s="1153" t="s">
        <v>824</v>
      </c>
      <c r="T359" s="1153" t="s">
        <v>332</v>
      </c>
      <c r="U359" s="1153" t="s">
        <v>2142</v>
      </c>
      <c r="V359" s="1153" t="s">
        <v>333</v>
      </c>
      <c r="W359" s="1153" t="s">
        <v>768</v>
      </c>
      <c r="X359" s="1153" t="s">
        <v>332</v>
      </c>
      <c r="Y359" s="1153" t="s">
        <v>2162</v>
      </c>
      <c r="Z359" s="1153" t="s">
        <v>332</v>
      </c>
      <c r="AA359" s="1153" t="s">
        <v>703</v>
      </c>
      <c r="AB359" s="1153" t="s">
        <v>332</v>
      </c>
      <c r="AC359" s="1153" t="s">
        <v>2188</v>
      </c>
      <c r="AD359" s="1153" t="s">
        <v>332</v>
      </c>
      <c r="AE359" s="1153" t="s">
        <v>637</v>
      </c>
      <c r="AF359" s="1153" t="s">
        <v>332</v>
      </c>
    </row>
    <row r="360" spans="1:32" s="1153" customFormat="1" ht="15" hidden="1" customHeight="1">
      <c r="A360" s="1153" t="s">
        <v>819</v>
      </c>
      <c r="B360" s="1153" t="s">
        <v>333</v>
      </c>
      <c r="C360" s="1153" t="s">
        <v>831</v>
      </c>
      <c r="D360" s="1153" t="s">
        <v>312</v>
      </c>
      <c r="G360" s="1153" t="s">
        <v>2047</v>
      </c>
      <c r="H360" s="1153" t="s">
        <v>332</v>
      </c>
      <c r="M360" s="1153" t="s">
        <v>833</v>
      </c>
      <c r="N360" s="1153" t="s">
        <v>335</v>
      </c>
      <c r="Q360" s="1153" t="s">
        <v>834</v>
      </c>
      <c r="R360" s="1153" t="s">
        <v>312</v>
      </c>
      <c r="S360" s="1153" t="s">
        <v>835</v>
      </c>
      <c r="T360" s="1153" t="s">
        <v>312</v>
      </c>
      <c r="U360" s="1153" t="s">
        <v>2143</v>
      </c>
      <c r="V360" s="1153" t="s">
        <v>312</v>
      </c>
      <c r="W360" s="1153" t="s">
        <v>780</v>
      </c>
      <c r="X360" s="1153" t="s">
        <v>332</v>
      </c>
      <c r="Y360" s="1153" t="s">
        <v>2163</v>
      </c>
      <c r="Z360" s="1153" t="s">
        <v>332</v>
      </c>
      <c r="AA360" s="1153" t="s">
        <v>714</v>
      </c>
      <c r="AB360" s="1153" t="s">
        <v>333</v>
      </c>
      <c r="AC360" s="1153" t="s">
        <v>2189</v>
      </c>
      <c r="AD360" s="1153" t="s">
        <v>334</v>
      </c>
      <c r="AE360" s="1153" t="s">
        <v>649</v>
      </c>
      <c r="AF360" s="1153" t="s">
        <v>332</v>
      </c>
    </row>
    <row r="361" spans="1:32" s="1153" customFormat="1" ht="15" hidden="1" customHeight="1">
      <c r="A361" s="1153" t="s">
        <v>830</v>
      </c>
      <c r="B361" s="1153" t="s">
        <v>332</v>
      </c>
      <c r="C361" s="1153" t="s">
        <v>842</v>
      </c>
      <c r="D361" s="1153" t="s">
        <v>312</v>
      </c>
      <c r="G361" s="1153" t="s">
        <v>2048</v>
      </c>
      <c r="H361" s="1153" t="s">
        <v>332</v>
      </c>
      <c r="M361" s="1153" t="s">
        <v>844</v>
      </c>
      <c r="N361" s="1153" t="s">
        <v>336</v>
      </c>
      <c r="Q361" s="1153" t="s">
        <v>845</v>
      </c>
      <c r="R361" s="1153" t="s">
        <v>332</v>
      </c>
      <c r="S361" s="1153" t="s">
        <v>846</v>
      </c>
      <c r="T361" s="1153" t="s">
        <v>333</v>
      </c>
      <c r="U361" s="1153" t="s">
        <v>2144</v>
      </c>
      <c r="V361" s="1153" t="s">
        <v>312</v>
      </c>
      <c r="W361" s="1153" t="s">
        <v>792</v>
      </c>
      <c r="X361" s="1153" t="s">
        <v>332</v>
      </c>
      <c r="Y361" s="1153" t="s">
        <v>2164</v>
      </c>
      <c r="Z361" s="1153" t="s">
        <v>312</v>
      </c>
      <c r="AA361" s="1153" t="s">
        <v>725</v>
      </c>
      <c r="AB361" s="1153" t="s">
        <v>333</v>
      </c>
      <c r="AC361" s="1153" t="s">
        <v>726</v>
      </c>
      <c r="AD361" s="1153" t="s">
        <v>334</v>
      </c>
      <c r="AE361" s="1153" t="s">
        <v>661</v>
      </c>
      <c r="AF361" s="1153" t="s">
        <v>332</v>
      </c>
    </row>
    <row r="362" spans="1:32" s="1153" customFormat="1" ht="15" hidden="1" customHeight="1">
      <c r="A362" s="1153" t="s">
        <v>841</v>
      </c>
      <c r="B362" s="1153" t="s">
        <v>333</v>
      </c>
      <c r="C362" s="1153" t="s">
        <v>853</v>
      </c>
      <c r="D362" s="1153" t="s">
        <v>334</v>
      </c>
      <c r="G362" s="1153" t="s">
        <v>2049</v>
      </c>
      <c r="H362" s="1153" t="s">
        <v>312</v>
      </c>
      <c r="M362" s="1153" t="s">
        <v>855</v>
      </c>
      <c r="N362" s="1153" t="s">
        <v>333</v>
      </c>
      <c r="Q362" s="1153" t="s">
        <v>856</v>
      </c>
      <c r="R362" s="1153" t="s">
        <v>332</v>
      </c>
      <c r="S362" s="1153" t="s">
        <v>857</v>
      </c>
      <c r="T362" s="1153" t="s">
        <v>333</v>
      </c>
      <c r="U362" s="1153" t="s">
        <v>2145</v>
      </c>
      <c r="V362" s="1153" t="s">
        <v>312</v>
      </c>
      <c r="W362" s="1153" t="s">
        <v>804</v>
      </c>
      <c r="X362" s="1153" t="s">
        <v>332</v>
      </c>
      <c r="Y362" s="1153" t="s">
        <v>2165</v>
      </c>
      <c r="Z362" s="1153" t="s">
        <v>332</v>
      </c>
      <c r="AA362" s="1153" t="s">
        <v>736</v>
      </c>
      <c r="AB362" s="1153" t="s">
        <v>312</v>
      </c>
      <c r="AC362" s="1153" t="s">
        <v>737</v>
      </c>
      <c r="AD362" s="1153" t="s">
        <v>334</v>
      </c>
      <c r="AE362" s="1153" t="s">
        <v>672</v>
      </c>
      <c r="AF362" s="1153" t="s">
        <v>332</v>
      </c>
    </row>
    <row r="363" spans="1:32" s="1153" customFormat="1" ht="15" hidden="1" customHeight="1">
      <c r="A363" s="1153" t="s">
        <v>852</v>
      </c>
      <c r="B363" s="1153" t="s">
        <v>332</v>
      </c>
      <c r="C363" s="1153" t="s">
        <v>864</v>
      </c>
      <c r="D363" s="1153" t="s">
        <v>336</v>
      </c>
      <c r="G363" s="1153" t="s">
        <v>2050</v>
      </c>
      <c r="H363" s="1153" t="s">
        <v>312</v>
      </c>
      <c r="M363" s="1153" t="s">
        <v>866</v>
      </c>
      <c r="N363" s="1153" t="s">
        <v>334</v>
      </c>
      <c r="Q363" s="1153" t="s">
        <v>867</v>
      </c>
      <c r="R363" s="1153" t="s">
        <v>333</v>
      </c>
      <c r="S363" s="1153" t="s">
        <v>868</v>
      </c>
      <c r="T363" s="1153" t="s">
        <v>333</v>
      </c>
      <c r="U363" s="1153" t="s">
        <v>2146</v>
      </c>
      <c r="V363" s="1153" t="s">
        <v>312</v>
      </c>
      <c r="W363" s="1153" t="s">
        <v>815</v>
      </c>
      <c r="X363" s="1153" t="s">
        <v>332</v>
      </c>
      <c r="Y363" s="1153" t="s">
        <v>2166</v>
      </c>
      <c r="Z363" s="1153" t="s">
        <v>312</v>
      </c>
      <c r="AA363" s="1153" t="s">
        <v>747</v>
      </c>
      <c r="AB363" s="1153" t="s">
        <v>312</v>
      </c>
      <c r="AC363" s="1153" t="s">
        <v>748</v>
      </c>
      <c r="AD363" s="1153" t="s">
        <v>334</v>
      </c>
      <c r="AE363" s="1153" t="s">
        <v>683</v>
      </c>
      <c r="AF363" s="1153" t="s">
        <v>332</v>
      </c>
    </row>
    <row r="364" spans="1:32" s="1153" customFormat="1" ht="15" hidden="1" customHeight="1">
      <c r="A364" s="1153" t="s">
        <v>863</v>
      </c>
      <c r="B364" s="1153" t="s">
        <v>334</v>
      </c>
      <c r="C364" s="1153" t="s">
        <v>875</v>
      </c>
      <c r="D364" s="1153" t="s">
        <v>336</v>
      </c>
      <c r="G364" s="1153" t="s">
        <v>2051</v>
      </c>
      <c r="H364" s="1153" t="s">
        <v>332</v>
      </c>
      <c r="M364" s="1153" t="s">
        <v>877</v>
      </c>
      <c r="N364" s="1153" t="s">
        <v>335</v>
      </c>
      <c r="Q364" s="1153" t="s">
        <v>878</v>
      </c>
      <c r="R364" s="1153" t="s">
        <v>312</v>
      </c>
      <c r="S364" s="1153" t="s">
        <v>879</v>
      </c>
      <c r="T364" s="1153" t="s">
        <v>335</v>
      </c>
      <c r="U364" s="1153" t="s">
        <v>2147</v>
      </c>
      <c r="V364" s="1153" t="s">
        <v>333</v>
      </c>
      <c r="W364" s="1153" t="s">
        <v>826</v>
      </c>
      <c r="X364" s="1153" t="s">
        <v>332</v>
      </c>
      <c r="Y364" s="1153" t="s">
        <v>2167</v>
      </c>
      <c r="Z364" s="1153" t="s">
        <v>312</v>
      </c>
      <c r="AA364" s="1153" t="s">
        <v>758</v>
      </c>
      <c r="AB364" s="1153" t="s">
        <v>332</v>
      </c>
      <c r="AC364" s="1153" t="s">
        <v>759</v>
      </c>
      <c r="AD364" s="1153" t="s">
        <v>333</v>
      </c>
      <c r="AE364" s="1153" t="s">
        <v>694</v>
      </c>
      <c r="AF364" s="1153" t="s">
        <v>312</v>
      </c>
    </row>
    <row r="365" spans="1:32" s="1153" customFormat="1" ht="15" hidden="1" customHeight="1">
      <c r="A365" s="1153" t="s">
        <v>874</v>
      </c>
      <c r="B365" s="1153" t="s">
        <v>335</v>
      </c>
      <c r="C365" s="1153" t="s">
        <v>885</v>
      </c>
      <c r="D365" s="1153" t="s">
        <v>333</v>
      </c>
      <c r="G365" s="1153" t="s">
        <v>2052</v>
      </c>
      <c r="H365" s="1153" t="s">
        <v>312</v>
      </c>
      <c r="M365" s="1153" t="s">
        <v>887</v>
      </c>
      <c r="N365" s="1153" t="s">
        <v>312</v>
      </c>
      <c r="Q365" s="1153" t="s">
        <v>888</v>
      </c>
      <c r="R365" s="1153" t="s">
        <v>333</v>
      </c>
      <c r="S365" s="1153" t="s">
        <v>889</v>
      </c>
      <c r="T365" s="1153" t="s">
        <v>332</v>
      </c>
      <c r="U365" s="1153" t="s">
        <v>2148</v>
      </c>
      <c r="V365" s="1153" t="s">
        <v>332</v>
      </c>
      <c r="W365" s="1153" t="s">
        <v>837</v>
      </c>
      <c r="X365" s="1153" t="s">
        <v>332</v>
      </c>
      <c r="Y365" s="1153" t="s">
        <v>781</v>
      </c>
      <c r="Z365" s="1153" t="s">
        <v>332</v>
      </c>
      <c r="AA365" s="1153" t="s">
        <v>770</v>
      </c>
      <c r="AB365" s="1153" t="s">
        <v>312</v>
      </c>
      <c r="AC365" s="1153" t="s">
        <v>771</v>
      </c>
      <c r="AD365" s="1153" t="s">
        <v>333</v>
      </c>
      <c r="AE365" s="1153" t="s">
        <v>705</v>
      </c>
      <c r="AF365" s="1153" t="s">
        <v>332</v>
      </c>
    </row>
    <row r="366" spans="1:32" s="1153" customFormat="1" ht="15" hidden="1" customHeight="1">
      <c r="A366" s="1153" t="s">
        <v>884</v>
      </c>
      <c r="B366" s="1153" t="s">
        <v>335</v>
      </c>
      <c r="C366" s="1153" t="s">
        <v>895</v>
      </c>
      <c r="D366" s="1153" t="s">
        <v>312</v>
      </c>
      <c r="G366" s="1153" t="s">
        <v>741</v>
      </c>
      <c r="H366" s="1153" t="s">
        <v>332</v>
      </c>
      <c r="M366" s="1153" t="s">
        <v>897</v>
      </c>
      <c r="N366" s="1153" t="s">
        <v>312</v>
      </c>
      <c r="Q366" s="1153" t="s">
        <v>898</v>
      </c>
      <c r="R366" s="1153" t="s">
        <v>312</v>
      </c>
      <c r="S366" s="1153" t="s">
        <v>899</v>
      </c>
      <c r="T366" s="1153" t="s">
        <v>332</v>
      </c>
      <c r="U366" s="1153" t="s">
        <v>2149</v>
      </c>
      <c r="V366" s="1153" t="s">
        <v>312</v>
      </c>
      <c r="W366" s="1153" t="s">
        <v>848</v>
      </c>
      <c r="X366" s="1153" t="s">
        <v>332</v>
      </c>
      <c r="Y366" s="1153" t="s">
        <v>793</v>
      </c>
      <c r="Z366" s="1153" t="s">
        <v>332</v>
      </c>
      <c r="AA366" s="1153" t="s">
        <v>782</v>
      </c>
      <c r="AB366" s="1153" t="s">
        <v>332</v>
      </c>
      <c r="AC366" s="1153" t="s">
        <v>783</v>
      </c>
      <c r="AD366" s="1153" t="s">
        <v>333</v>
      </c>
      <c r="AE366" s="1153" t="s">
        <v>716</v>
      </c>
      <c r="AF366" s="1153" t="s">
        <v>332</v>
      </c>
    </row>
    <row r="367" spans="1:32" s="1153" customFormat="1" ht="15" hidden="1" customHeight="1">
      <c r="A367" s="1153" t="s">
        <v>894</v>
      </c>
      <c r="B367" s="1153" t="s">
        <v>332</v>
      </c>
      <c r="C367" s="1153" t="s">
        <v>905</v>
      </c>
      <c r="D367" s="1153" t="s">
        <v>336</v>
      </c>
      <c r="G367" s="1153" t="s">
        <v>752</v>
      </c>
      <c r="H367" s="1153" t="s">
        <v>333</v>
      </c>
      <c r="M367" s="1153" t="s">
        <v>907</v>
      </c>
      <c r="N367" s="1153" t="s">
        <v>312</v>
      </c>
      <c r="Q367" s="1153" t="s">
        <v>908</v>
      </c>
      <c r="R367" s="1153" t="s">
        <v>312</v>
      </c>
      <c r="S367" s="1153" t="s">
        <v>909</v>
      </c>
      <c r="T367" s="1153" t="s">
        <v>334</v>
      </c>
      <c r="U367" s="1153" t="s">
        <v>2150</v>
      </c>
      <c r="V367" s="1153" t="s">
        <v>312</v>
      </c>
      <c r="W367" s="1153" t="s">
        <v>859</v>
      </c>
      <c r="X367" s="1153" t="s">
        <v>312</v>
      </c>
      <c r="Y367" s="1153" t="s">
        <v>805</v>
      </c>
      <c r="Z367" s="1153" t="s">
        <v>332</v>
      </c>
      <c r="AA367" s="1153" t="s">
        <v>794</v>
      </c>
      <c r="AB367" s="1153" t="s">
        <v>332</v>
      </c>
      <c r="AC367" s="1153" t="s">
        <v>795</v>
      </c>
      <c r="AD367" s="1153" t="s">
        <v>333</v>
      </c>
      <c r="AE367" s="1153" t="s">
        <v>727</v>
      </c>
      <c r="AF367" s="1153" t="s">
        <v>332</v>
      </c>
    </row>
    <row r="368" spans="1:32" s="1153" customFormat="1" ht="15" hidden="1" customHeight="1">
      <c r="A368" s="1153" t="s">
        <v>904</v>
      </c>
      <c r="B368" s="1153" t="s">
        <v>333</v>
      </c>
      <c r="C368" s="1153" t="s">
        <v>915</v>
      </c>
      <c r="D368" s="1153" t="s">
        <v>312</v>
      </c>
      <c r="G368" s="1153" t="s">
        <v>763</v>
      </c>
      <c r="H368" s="1153" t="s">
        <v>332</v>
      </c>
      <c r="M368" s="1153" t="s">
        <v>917</v>
      </c>
      <c r="N368" s="1153" t="s">
        <v>334</v>
      </c>
      <c r="Q368" s="1153" t="s">
        <v>918</v>
      </c>
      <c r="R368" s="1153" t="s">
        <v>332</v>
      </c>
      <c r="S368" s="1153" t="s">
        <v>919</v>
      </c>
      <c r="T368" s="1153" t="s">
        <v>333</v>
      </c>
      <c r="U368" s="1153" t="s">
        <v>2151</v>
      </c>
      <c r="V368" s="1153" t="s">
        <v>312</v>
      </c>
      <c r="W368" s="1153" t="s">
        <v>870</v>
      </c>
      <c r="X368" s="1153" t="s">
        <v>332</v>
      </c>
      <c r="Y368" s="1153" t="s">
        <v>816</v>
      </c>
      <c r="Z368" s="1153" t="s">
        <v>312</v>
      </c>
      <c r="AA368" s="1153" t="s">
        <v>806</v>
      </c>
      <c r="AB368" s="1153" t="s">
        <v>332</v>
      </c>
      <c r="AC368" s="1153" t="s">
        <v>807</v>
      </c>
      <c r="AD368" s="1153" t="s">
        <v>336</v>
      </c>
      <c r="AE368" s="1153" t="s">
        <v>738</v>
      </c>
      <c r="AF368" s="1153" t="s">
        <v>332</v>
      </c>
    </row>
    <row r="369" spans="1:32" s="1153" customFormat="1" ht="15" hidden="1" customHeight="1">
      <c r="A369" s="1153" t="s">
        <v>914</v>
      </c>
      <c r="B369" s="1153" t="s">
        <v>335</v>
      </c>
      <c r="C369" s="1153" t="s">
        <v>924</v>
      </c>
      <c r="D369" s="1153" t="s">
        <v>336</v>
      </c>
      <c r="G369" s="1153" t="s">
        <v>775</v>
      </c>
      <c r="H369" s="1153" t="s">
        <v>332</v>
      </c>
      <c r="M369" s="1153" t="s">
        <v>926</v>
      </c>
      <c r="N369" s="1153" t="s">
        <v>312</v>
      </c>
      <c r="Q369" s="1153" t="s">
        <v>927</v>
      </c>
      <c r="R369" s="1153" t="s">
        <v>312</v>
      </c>
      <c r="S369" s="1153" t="s">
        <v>928</v>
      </c>
      <c r="T369" s="1153" t="s">
        <v>312</v>
      </c>
      <c r="U369" s="1153" t="s">
        <v>2152</v>
      </c>
      <c r="V369" s="1153" t="s">
        <v>312</v>
      </c>
      <c r="Y369" s="1153" t="s">
        <v>827</v>
      </c>
      <c r="Z369" s="1153" t="s">
        <v>312</v>
      </c>
      <c r="AA369" s="1153" t="s">
        <v>817</v>
      </c>
      <c r="AB369" s="1153" t="s">
        <v>312</v>
      </c>
      <c r="AC369" s="1153" t="s">
        <v>818</v>
      </c>
      <c r="AD369" s="1153" t="s">
        <v>336</v>
      </c>
      <c r="AE369" s="1153" t="s">
        <v>749</v>
      </c>
      <c r="AF369" s="1153" t="s">
        <v>332</v>
      </c>
    </row>
    <row r="370" spans="1:32" s="1153" customFormat="1" ht="15" hidden="1" customHeight="1">
      <c r="A370" s="1153" t="s">
        <v>923</v>
      </c>
      <c r="B370" s="1153" t="s">
        <v>333</v>
      </c>
      <c r="C370" s="1153" t="s">
        <v>933</v>
      </c>
      <c r="D370" s="1153" t="s">
        <v>332</v>
      </c>
      <c r="G370" s="1153" t="s">
        <v>787</v>
      </c>
      <c r="H370" s="1153" t="s">
        <v>333</v>
      </c>
      <c r="M370" s="1153" t="s">
        <v>935</v>
      </c>
      <c r="N370" s="1153" t="s">
        <v>336</v>
      </c>
      <c r="Q370" s="1153" t="s">
        <v>936</v>
      </c>
      <c r="R370" s="1153" t="s">
        <v>332</v>
      </c>
      <c r="S370" s="1153" t="s">
        <v>937</v>
      </c>
      <c r="T370" s="1153" t="s">
        <v>312</v>
      </c>
      <c r="U370" s="1153" t="s">
        <v>678</v>
      </c>
      <c r="V370" s="1153" t="s">
        <v>332</v>
      </c>
      <c r="Y370" s="1153" t="s">
        <v>838</v>
      </c>
      <c r="Z370" s="1153" t="s">
        <v>333</v>
      </c>
      <c r="AA370" s="1153" t="s">
        <v>828</v>
      </c>
      <c r="AB370" s="1153" t="s">
        <v>332</v>
      </c>
      <c r="AC370" s="1153" t="s">
        <v>829</v>
      </c>
      <c r="AD370" s="1153" t="s">
        <v>334</v>
      </c>
      <c r="AE370" s="1153" t="s">
        <v>760</v>
      </c>
      <c r="AF370" s="1153" t="s">
        <v>332</v>
      </c>
    </row>
    <row r="371" spans="1:32" s="1153" customFormat="1" ht="15" hidden="1" customHeight="1">
      <c r="A371" s="1153" t="s">
        <v>932</v>
      </c>
      <c r="B371" s="1153" t="s">
        <v>332</v>
      </c>
      <c r="C371" s="1153" t="s">
        <v>942</v>
      </c>
      <c r="D371" s="1153" t="s">
        <v>334</v>
      </c>
      <c r="G371" s="1153" t="s">
        <v>799</v>
      </c>
      <c r="H371" s="1153" t="s">
        <v>335</v>
      </c>
      <c r="M371" s="1153" t="s">
        <v>944</v>
      </c>
      <c r="N371" s="1153" t="s">
        <v>333</v>
      </c>
      <c r="Q371" s="1153" t="s">
        <v>945</v>
      </c>
      <c r="R371" s="1153" t="s">
        <v>332</v>
      </c>
      <c r="S371" s="1153" t="s">
        <v>946</v>
      </c>
      <c r="T371" s="1153" t="s">
        <v>332</v>
      </c>
      <c r="U371" s="1153" t="s">
        <v>689</v>
      </c>
      <c r="V371" s="1153" t="s">
        <v>333</v>
      </c>
      <c r="Y371" s="1153" t="s">
        <v>849</v>
      </c>
      <c r="Z371" s="1153" t="s">
        <v>333</v>
      </c>
      <c r="AA371" s="1153" t="s">
        <v>839</v>
      </c>
      <c r="AB371" s="1153" t="s">
        <v>312</v>
      </c>
      <c r="AC371" s="1153" t="s">
        <v>840</v>
      </c>
      <c r="AD371" s="1153" t="s">
        <v>336</v>
      </c>
      <c r="AE371" s="1153" t="s">
        <v>772</v>
      </c>
      <c r="AF371" s="1153" t="s">
        <v>333</v>
      </c>
    </row>
    <row r="372" spans="1:32" s="1153" customFormat="1" ht="15" hidden="1" customHeight="1">
      <c r="A372" s="1153" t="s">
        <v>941</v>
      </c>
      <c r="B372" s="1153" t="s">
        <v>333</v>
      </c>
      <c r="C372" s="1153" t="s">
        <v>951</v>
      </c>
      <c r="D372" s="1153" t="s">
        <v>312</v>
      </c>
      <c r="G372" s="1153" t="s">
        <v>810</v>
      </c>
      <c r="H372" s="1153" t="s">
        <v>333</v>
      </c>
      <c r="M372" s="1153" t="s">
        <v>953</v>
      </c>
      <c r="N372" s="1153" t="s">
        <v>334</v>
      </c>
      <c r="Q372" s="1153" t="s">
        <v>954</v>
      </c>
      <c r="R372" s="1153" t="s">
        <v>312</v>
      </c>
      <c r="S372" s="1153" t="s">
        <v>955</v>
      </c>
      <c r="T372" s="1153" t="s">
        <v>335</v>
      </c>
      <c r="U372" s="1153" t="s">
        <v>700</v>
      </c>
      <c r="V372" s="1153" t="s">
        <v>334</v>
      </c>
      <c r="Y372" s="1153" t="s">
        <v>860</v>
      </c>
      <c r="Z372" s="1153" t="s">
        <v>332</v>
      </c>
      <c r="AA372" s="1153" t="s">
        <v>850</v>
      </c>
      <c r="AB372" s="1153" t="s">
        <v>332</v>
      </c>
      <c r="AC372" s="1153" t="s">
        <v>851</v>
      </c>
      <c r="AD372" s="1153" t="s">
        <v>334</v>
      </c>
      <c r="AE372" s="1153" t="s">
        <v>784</v>
      </c>
      <c r="AF372" s="1153" t="s">
        <v>332</v>
      </c>
    </row>
    <row r="373" spans="1:32" s="1153" customFormat="1" ht="15" hidden="1" customHeight="1">
      <c r="A373" s="1153" t="s">
        <v>950</v>
      </c>
      <c r="B373" s="1153" t="s">
        <v>334</v>
      </c>
      <c r="C373" s="1153" t="s">
        <v>960</v>
      </c>
      <c r="D373" s="1153" t="s">
        <v>335</v>
      </c>
      <c r="G373" s="1153" t="s">
        <v>821</v>
      </c>
      <c r="H373" s="1153" t="s">
        <v>332</v>
      </c>
      <c r="M373" s="1153" t="s">
        <v>962</v>
      </c>
      <c r="N373" s="1153" t="s">
        <v>336</v>
      </c>
      <c r="Q373" s="1153" t="s">
        <v>963</v>
      </c>
      <c r="R373" s="1153" t="s">
        <v>332</v>
      </c>
      <c r="S373" s="1153" t="s">
        <v>964</v>
      </c>
      <c r="T373" s="1153" t="s">
        <v>332</v>
      </c>
      <c r="U373" s="1153" t="s">
        <v>711</v>
      </c>
      <c r="V373" s="1153" t="s">
        <v>334</v>
      </c>
      <c r="Y373" s="1153" t="s">
        <v>871</v>
      </c>
      <c r="Z373" s="1153" t="s">
        <v>332</v>
      </c>
      <c r="AA373" s="1153" t="s">
        <v>861</v>
      </c>
      <c r="AB373" s="1153" t="s">
        <v>332</v>
      </c>
      <c r="AC373" s="1153" t="s">
        <v>862</v>
      </c>
      <c r="AD373" s="1153" t="s">
        <v>334</v>
      </c>
      <c r="AE373" s="1153" t="s">
        <v>796</v>
      </c>
      <c r="AF373" s="1153" t="s">
        <v>312</v>
      </c>
    </row>
    <row r="374" spans="1:32" s="1153" customFormat="1" ht="15" hidden="1" customHeight="1">
      <c r="A374" s="1153" t="s">
        <v>959</v>
      </c>
      <c r="B374" s="1153" t="s">
        <v>334</v>
      </c>
      <c r="C374" s="1153" t="s">
        <v>969</v>
      </c>
      <c r="D374" s="1153" t="s">
        <v>334</v>
      </c>
      <c r="G374" s="1153" t="s">
        <v>832</v>
      </c>
      <c r="H374" s="1153" t="s">
        <v>334</v>
      </c>
      <c r="M374" s="1153" t="s">
        <v>971</v>
      </c>
      <c r="N374" s="1153" t="s">
        <v>312</v>
      </c>
      <c r="Q374" s="1153" t="s">
        <v>972</v>
      </c>
      <c r="R374" s="1153" t="s">
        <v>312</v>
      </c>
      <c r="S374" s="1153" t="s">
        <v>982</v>
      </c>
      <c r="T374" s="1153" t="s">
        <v>332</v>
      </c>
      <c r="U374" s="1153" t="s">
        <v>722</v>
      </c>
      <c r="V374" s="1153" t="s">
        <v>336</v>
      </c>
      <c r="Y374" s="1153" t="s">
        <v>881</v>
      </c>
      <c r="Z374" s="1153" t="s">
        <v>332</v>
      </c>
      <c r="AA374" s="1153" t="s">
        <v>872</v>
      </c>
      <c r="AB374" s="1153" t="s">
        <v>332</v>
      </c>
      <c r="AC374" s="1153" t="s">
        <v>873</v>
      </c>
      <c r="AD374" s="1153" t="s">
        <v>335</v>
      </c>
    </row>
    <row r="375" spans="1:32" s="1153" customFormat="1" ht="15" hidden="1" customHeight="1">
      <c r="A375" s="1153" t="s">
        <v>968</v>
      </c>
      <c r="B375" s="1153" t="s">
        <v>333</v>
      </c>
      <c r="C375" s="1153" t="s">
        <v>978</v>
      </c>
      <c r="D375" s="1153" t="s">
        <v>332</v>
      </c>
      <c r="G375" s="1153" t="s">
        <v>843</v>
      </c>
      <c r="H375" s="1153" t="s">
        <v>332</v>
      </c>
      <c r="M375" s="1153" t="s">
        <v>989</v>
      </c>
      <c r="N375" s="1153" t="s">
        <v>332</v>
      </c>
      <c r="Q375" s="1153" t="s">
        <v>981</v>
      </c>
      <c r="R375" s="1153" t="s">
        <v>312</v>
      </c>
      <c r="S375" s="1153" t="s">
        <v>973</v>
      </c>
      <c r="T375" s="1153" t="s">
        <v>312</v>
      </c>
      <c r="U375" s="1153" t="s">
        <v>733</v>
      </c>
      <c r="V375" s="1153" t="s">
        <v>332</v>
      </c>
      <c r="Y375" s="1153" t="s">
        <v>891</v>
      </c>
      <c r="Z375" s="1153" t="s">
        <v>312</v>
      </c>
      <c r="AA375" s="1153" t="s">
        <v>882</v>
      </c>
      <c r="AB375" s="1153" t="s">
        <v>332</v>
      </c>
      <c r="AC375" s="1153" t="s">
        <v>883</v>
      </c>
      <c r="AD375" s="1153" t="s">
        <v>335</v>
      </c>
    </row>
    <row r="376" spans="1:32" s="1153" customFormat="1" ht="15" hidden="1" customHeight="1">
      <c r="A376" s="1153" t="s">
        <v>977</v>
      </c>
      <c r="B376" s="1153" t="s">
        <v>333</v>
      </c>
      <c r="C376" s="1153" t="s">
        <v>987</v>
      </c>
      <c r="D376" s="1153" t="s">
        <v>333</v>
      </c>
      <c r="G376" s="1153" t="s">
        <v>854</v>
      </c>
      <c r="H376" s="1153" t="s">
        <v>332</v>
      </c>
      <c r="M376" s="1153" t="s">
        <v>998</v>
      </c>
      <c r="N376" s="1153" t="s">
        <v>332</v>
      </c>
      <c r="Q376" s="1153" t="s">
        <v>990</v>
      </c>
      <c r="R376" s="1153" t="s">
        <v>312</v>
      </c>
      <c r="S376" s="1153" t="s">
        <v>991</v>
      </c>
      <c r="T376" s="1153" t="s">
        <v>334</v>
      </c>
      <c r="U376" s="1153" t="s">
        <v>744</v>
      </c>
      <c r="V376" s="1153" t="s">
        <v>332</v>
      </c>
      <c r="Y376" s="1153" t="s">
        <v>901</v>
      </c>
      <c r="Z376" s="1153" t="s">
        <v>332</v>
      </c>
      <c r="AA376" s="1153" t="s">
        <v>892</v>
      </c>
      <c r="AB376" s="1153" t="s">
        <v>332</v>
      </c>
      <c r="AC376" s="1153" t="s">
        <v>893</v>
      </c>
      <c r="AD376" s="1153" t="s">
        <v>333</v>
      </c>
    </row>
    <row r="377" spans="1:32" s="1153" customFormat="1" ht="15" hidden="1" customHeight="1">
      <c r="A377" s="1153" t="s">
        <v>986</v>
      </c>
      <c r="B377" s="1153" t="s">
        <v>333</v>
      </c>
      <c r="C377" s="1153" t="s">
        <v>996</v>
      </c>
      <c r="D377" s="1153" t="s">
        <v>334</v>
      </c>
      <c r="G377" s="1153" t="s">
        <v>865</v>
      </c>
      <c r="H377" s="1153" t="s">
        <v>333</v>
      </c>
      <c r="M377" s="1153" t="s">
        <v>980</v>
      </c>
      <c r="N377" s="1153" t="s">
        <v>333</v>
      </c>
      <c r="Q377" s="1153" t="s">
        <v>999</v>
      </c>
      <c r="R377" s="1153" t="s">
        <v>333</v>
      </c>
      <c r="S377" s="1153" t="s">
        <v>1000</v>
      </c>
      <c r="T377" s="1153" t="s">
        <v>333</v>
      </c>
      <c r="U377" s="1153" t="s">
        <v>755</v>
      </c>
      <c r="V377" s="1153" t="s">
        <v>312</v>
      </c>
      <c r="Y377" s="1153" t="s">
        <v>911</v>
      </c>
      <c r="Z377" s="1153" t="s">
        <v>312</v>
      </c>
      <c r="AA377" s="1153" t="s">
        <v>902</v>
      </c>
      <c r="AB377" s="1153" t="s">
        <v>332</v>
      </c>
      <c r="AC377" s="1153" t="s">
        <v>903</v>
      </c>
      <c r="AD377" s="1153" t="s">
        <v>335</v>
      </c>
    </row>
    <row r="378" spans="1:32" s="1153" customFormat="1" ht="15" hidden="1" customHeight="1">
      <c r="A378" s="1153" t="s">
        <v>995</v>
      </c>
      <c r="B378" s="1153" t="s">
        <v>334</v>
      </c>
      <c r="C378" s="1153" t="s">
        <v>1004</v>
      </c>
      <c r="D378" s="1153" t="s">
        <v>336</v>
      </c>
      <c r="G378" s="1153" t="s">
        <v>876</v>
      </c>
      <c r="H378" s="1153" t="s">
        <v>334</v>
      </c>
      <c r="M378" s="1153" t="s">
        <v>1006</v>
      </c>
      <c r="N378" s="1153" t="s">
        <v>333</v>
      </c>
      <c r="Q378" s="1153" t="s">
        <v>1007</v>
      </c>
      <c r="R378" s="1153" t="s">
        <v>333</v>
      </c>
      <c r="S378" s="1153" t="s">
        <v>1008</v>
      </c>
      <c r="T378" s="1153" t="s">
        <v>332</v>
      </c>
      <c r="U378" s="1153" t="s">
        <v>767</v>
      </c>
      <c r="V378" s="1153" t="s">
        <v>332</v>
      </c>
      <c r="Y378" s="1153" t="s">
        <v>920</v>
      </c>
      <c r="Z378" s="1153" t="s">
        <v>332</v>
      </c>
      <c r="AA378" s="1153" t="s">
        <v>912</v>
      </c>
      <c r="AB378" s="1153" t="s">
        <v>332</v>
      </c>
      <c r="AC378" s="1153" t="s">
        <v>913</v>
      </c>
      <c r="AD378" s="1153" t="s">
        <v>336</v>
      </c>
    </row>
    <row r="379" spans="1:32" s="1153" customFormat="1" ht="15" hidden="1" customHeight="1">
      <c r="A379" s="1153" t="s">
        <v>1003</v>
      </c>
      <c r="B379" s="1153" t="s">
        <v>333</v>
      </c>
      <c r="C379" s="1153" t="s">
        <v>1012</v>
      </c>
      <c r="D379" s="1153" t="s">
        <v>333</v>
      </c>
      <c r="G379" s="1153" t="s">
        <v>886</v>
      </c>
      <c r="H379" s="1153" t="s">
        <v>312</v>
      </c>
      <c r="M379" s="1153" t="s">
        <v>1014</v>
      </c>
      <c r="N379" s="1153" t="s">
        <v>333</v>
      </c>
      <c r="Q379" s="1153" t="s">
        <v>1015</v>
      </c>
      <c r="R379" s="1153" t="s">
        <v>312</v>
      </c>
      <c r="S379" s="1153" t="s">
        <v>1016</v>
      </c>
      <c r="T379" s="1153" t="s">
        <v>332</v>
      </c>
      <c r="U379" s="1153" t="s">
        <v>779</v>
      </c>
      <c r="V379" s="1153" t="s">
        <v>334</v>
      </c>
      <c r="Y379" s="1153" t="s">
        <v>929</v>
      </c>
      <c r="Z379" s="1153" t="s">
        <v>312</v>
      </c>
      <c r="AA379" s="1153" t="s">
        <v>921</v>
      </c>
      <c r="AB379" s="1153" t="s">
        <v>332</v>
      </c>
      <c r="AC379" s="1153" t="s">
        <v>922</v>
      </c>
      <c r="AD379" s="1153" t="s">
        <v>333</v>
      </c>
    </row>
    <row r="380" spans="1:32" s="1153" customFormat="1" ht="15" hidden="1" customHeight="1">
      <c r="A380" s="1153" t="s">
        <v>1011</v>
      </c>
      <c r="B380" s="1153" t="s">
        <v>333</v>
      </c>
      <c r="C380" s="1153" t="s">
        <v>1020</v>
      </c>
      <c r="D380" s="1153" t="s">
        <v>336</v>
      </c>
      <c r="G380" s="1153" t="s">
        <v>896</v>
      </c>
      <c r="H380" s="1153" t="s">
        <v>333</v>
      </c>
      <c r="M380" s="1153" t="s">
        <v>1022</v>
      </c>
      <c r="N380" s="1153" t="s">
        <v>334</v>
      </c>
      <c r="Q380" s="1153" t="s">
        <v>1023</v>
      </c>
      <c r="R380" s="1153" t="s">
        <v>312</v>
      </c>
      <c r="S380" s="1153" t="s">
        <v>1024</v>
      </c>
      <c r="T380" s="1153" t="s">
        <v>312</v>
      </c>
      <c r="U380" s="1153" t="s">
        <v>791</v>
      </c>
      <c r="V380" s="1153" t="s">
        <v>332</v>
      </c>
      <c r="Y380" s="1153" t="s">
        <v>938</v>
      </c>
      <c r="Z380" s="1153" t="s">
        <v>332</v>
      </c>
      <c r="AA380" s="1153" t="s">
        <v>930</v>
      </c>
      <c r="AB380" s="1153" t="s">
        <v>332</v>
      </c>
      <c r="AC380" s="1153" t="s">
        <v>931</v>
      </c>
      <c r="AD380" s="1153" t="s">
        <v>334</v>
      </c>
    </row>
    <row r="381" spans="1:32" s="1153" customFormat="1" ht="15" hidden="1" customHeight="1">
      <c r="A381" s="1153" t="s">
        <v>1019</v>
      </c>
      <c r="B381" s="1153" t="s">
        <v>336</v>
      </c>
      <c r="C381" s="1153" t="s">
        <v>1028</v>
      </c>
      <c r="D381" s="1153" t="s">
        <v>333</v>
      </c>
      <c r="G381" s="1153" t="s">
        <v>906</v>
      </c>
      <c r="H381" s="1153" t="s">
        <v>334</v>
      </c>
      <c r="M381" s="1153" t="s">
        <v>1030</v>
      </c>
      <c r="N381" s="1153" t="s">
        <v>334</v>
      </c>
      <c r="Q381" s="1153" t="s">
        <v>1031</v>
      </c>
      <c r="R381" s="1153" t="s">
        <v>334</v>
      </c>
      <c r="S381" s="1153" t="s">
        <v>1032</v>
      </c>
      <c r="T381" s="1153" t="s">
        <v>333</v>
      </c>
      <c r="U381" s="1153" t="s">
        <v>803</v>
      </c>
      <c r="V381" s="1153" t="s">
        <v>332</v>
      </c>
      <c r="Y381" s="1153" t="s">
        <v>947</v>
      </c>
      <c r="Z381" s="1153" t="s">
        <v>333</v>
      </c>
      <c r="AA381" s="1153" t="s">
        <v>939</v>
      </c>
      <c r="AB381" s="1153" t="s">
        <v>332</v>
      </c>
      <c r="AC381" s="1153" t="s">
        <v>940</v>
      </c>
      <c r="AD381" s="1153" t="s">
        <v>334</v>
      </c>
    </row>
    <row r="382" spans="1:32" s="1153" customFormat="1" ht="15" hidden="1" customHeight="1">
      <c r="A382" s="1153" t="s">
        <v>1027</v>
      </c>
      <c r="B382" s="1153" t="s">
        <v>332</v>
      </c>
      <c r="C382" s="1153" t="s">
        <v>1036</v>
      </c>
      <c r="D382" s="1153" t="s">
        <v>333</v>
      </c>
      <c r="G382" s="1153" t="s">
        <v>916</v>
      </c>
      <c r="H382" s="1153" t="s">
        <v>333</v>
      </c>
      <c r="M382" s="1153" t="s">
        <v>1038</v>
      </c>
      <c r="N382" s="1153" t="s">
        <v>332</v>
      </c>
      <c r="Q382" s="1153" t="s">
        <v>1039</v>
      </c>
      <c r="R382" s="1153" t="s">
        <v>332</v>
      </c>
      <c r="S382" s="1153" t="s">
        <v>1040</v>
      </c>
      <c r="T382" s="1153" t="s">
        <v>333</v>
      </c>
      <c r="U382" s="1153" t="s">
        <v>814</v>
      </c>
      <c r="V382" s="1153" t="s">
        <v>312</v>
      </c>
      <c r="Y382" s="1153" t="s">
        <v>956</v>
      </c>
      <c r="Z382" s="1153" t="s">
        <v>312</v>
      </c>
      <c r="AA382" s="1153" t="s">
        <v>948</v>
      </c>
      <c r="AB382" s="1153" t="s">
        <v>332</v>
      </c>
      <c r="AC382" s="1153" t="s">
        <v>949</v>
      </c>
      <c r="AD382" s="1153" t="s">
        <v>334</v>
      </c>
    </row>
    <row r="383" spans="1:32" s="1153" customFormat="1" ht="15" hidden="1" customHeight="1">
      <c r="A383" s="1153" t="s">
        <v>1035</v>
      </c>
      <c r="B383" s="1153" t="s">
        <v>333</v>
      </c>
      <c r="C383" s="1153" t="s">
        <v>1043</v>
      </c>
      <c r="D383" s="1153" t="s">
        <v>333</v>
      </c>
      <c r="G383" s="1153" t="s">
        <v>925</v>
      </c>
      <c r="H383" s="1153" t="s">
        <v>312</v>
      </c>
      <c r="M383" s="1153" t="s">
        <v>1045</v>
      </c>
      <c r="N383" s="1153" t="s">
        <v>335</v>
      </c>
      <c r="Q383" s="1153" t="s">
        <v>1046</v>
      </c>
      <c r="R383" s="1153" t="s">
        <v>333</v>
      </c>
      <c r="S383" s="1153" t="s">
        <v>1047</v>
      </c>
      <c r="T383" s="1153" t="s">
        <v>334</v>
      </c>
      <c r="U383" s="1153" t="s">
        <v>825</v>
      </c>
      <c r="V383" s="1153" t="s">
        <v>333</v>
      </c>
      <c r="Y383" s="1153" t="s">
        <v>965</v>
      </c>
      <c r="Z383" s="1153" t="s">
        <v>333</v>
      </c>
      <c r="AA383" s="1153" t="s">
        <v>957</v>
      </c>
      <c r="AB383" s="1153" t="s">
        <v>332</v>
      </c>
      <c r="AC383" s="1153" t="s">
        <v>958</v>
      </c>
      <c r="AD383" s="1153" t="s">
        <v>336</v>
      </c>
    </row>
    <row r="384" spans="1:32" s="1153" customFormat="1" ht="15" hidden="1" customHeight="1">
      <c r="A384" s="1153" t="s">
        <v>1042</v>
      </c>
      <c r="B384" s="1153" t="s">
        <v>335</v>
      </c>
      <c r="C384" s="1153" t="s">
        <v>1050</v>
      </c>
      <c r="D384" s="1153" t="s">
        <v>336</v>
      </c>
      <c r="G384" s="1153" t="s">
        <v>934</v>
      </c>
      <c r="H384" s="1153" t="s">
        <v>334</v>
      </c>
      <c r="M384" s="1153" t="s">
        <v>1052</v>
      </c>
      <c r="N384" s="1153" t="s">
        <v>335</v>
      </c>
      <c r="Q384" s="1153" t="s">
        <v>1053</v>
      </c>
      <c r="R384" s="1153" t="s">
        <v>332</v>
      </c>
      <c r="S384" s="1153" t="s">
        <v>1054</v>
      </c>
      <c r="T384" s="1153" t="s">
        <v>333</v>
      </c>
      <c r="U384" s="1153" t="s">
        <v>836</v>
      </c>
      <c r="V384" s="1153" t="s">
        <v>333</v>
      </c>
      <c r="Y384" s="1153" t="s">
        <v>974</v>
      </c>
      <c r="Z384" s="1153" t="s">
        <v>333</v>
      </c>
      <c r="AA384" s="1153" t="s">
        <v>966</v>
      </c>
      <c r="AB384" s="1153" t="s">
        <v>312</v>
      </c>
      <c r="AC384" s="1153" t="s">
        <v>967</v>
      </c>
      <c r="AD384" s="1153" t="s">
        <v>334</v>
      </c>
    </row>
    <row r="385" spans="1:30" s="1153" customFormat="1" ht="15" hidden="1" customHeight="1">
      <c r="A385" s="1153" t="s">
        <v>1049</v>
      </c>
      <c r="B385" s="1153" t="s">
        <v>332</v>
      </c>
      <c r="C385" s="1153" t="s">
        <v>1057</v>
      </c>
      <c r="D385" s="1153" t="s">
        <v>335</v>
      </c>
      <c r="G385" s="1153" t="s">
        <v>943</v>
      </c>
      <c r="H385" s="1153" t="s">
        <v>332</v>
      </c>
      <c r="M385" s="1153" t="s">
        <v>1059</v>
      </c>
      <c r="N385" s="1153" t="s">
        <v>333</v>
      </c>
      <c r="Q385" s="1153" t="s">
        <v>1060</v>
      </c>
      <c r="R385" s="1153" t="s">
        <v>334</v>
      </c>
      <c r="S385" s="1153" t="s">
        <v>1061</v>
      </c>
      <c r="T385" s="1153" t="s">
        <v>333</v>
      </c>
      <c r="U385" s="1153" t="s">
        <v>847</v>
      </c>
      <c r="V385" s="1153" t="s">
        <v>332</v>
      </c>
      <c r="Y385" s="1153" t="s">
        <v>983</v>
      </c>
      <c r="Z385" s="1153" t="s">
        <v>312</v>
      </c>
      <c r="AA385" s="1153" t="s">
        <v>975</v>
      </c>
      <c r="AB385" s="1153" t="s">
        <v>332</v>
      </c>
      <c r="AC385" s="1153" t="s">
        <v>976</v>
      </c>
      <c r="AD385" s="1153" t="s">
        <v>334</v>
      </c>
    </row>
    <row r="386" spans="1:30" s="1153" customFormat="1" ht="15" hidden="1" customHeight="1">
      <c r="A386" s="1153" t="s">
        <v>1056</v>
      </c>
      <c r="B386" s="1153" t="s">
        <v>334</v>
      </c>
      <c r="C386" s="1153" t="s">
        <v>1064</v>
      </c>
      <c r="D386" s="1153" t="s">
        <v>336</v>
      </c>
      <c r="G386" s="1153" t="s">
        <v>952</v>
      </c>
      <c r="H386" s="1153" t="s">
        <v>332</v>
      </c>
      <c r="M386" s="1153" t="s">
        <v>1066</v>
      </c>
      <c r="N386" s="1153" t="s">
        <v>335</v>
      </c>
      <c r="Q386" s="1153" t="s">
        <v>1067</v>
      </c>
      <c r="R386" s="1153" t="s">
        <v>312</v>
      </c>
      <c r="S386" s="1153" t="s">
        <v>1068</v>
      </c>
      <c r="T386" s="1153" t="s">
        <v>332</v>
      </c>
      <c r="U386" s="1153" t="s">
        <v>858</v>
      </c>
      <c r="V386" s="1153" t="s">
        <v>333</v>
      </c>
      <c r="Y386" s="1153" t="s">
        <v>992</v>
      </c>
      <c r="Z386" s="1153" t="s">
        <v>332</v>
      </c>
      <c r="AA386" s="1153" t="s">
        <v>984</v>
      </c>
      <c r="AB386" s="1153" t="s">
        <v>332</v>
      </c>
      <c r="AC386" s="1153" t="s">
        <v>985</v>
      </c>
      <c r="AD386" s="1153" t="s">
        <v>336</v>
      </c>
    </row>
    <row r="387" spans="1:30" s="1153" customFormat="1" ht="15" hidden="1" customHeight="1">
      <c r="A387" s="1153" t="s">
        <v>1063</v>
      </c>
      <c r="B387" s="1153" t="s">
        <v>336</v>
      </c>
      <c r="C387" s="1153" t="s">
        <v>1071</v>
      </c>
      <c r="D387" s="1153" t="s">
        <v>332</v>
      </c>
      <c r="G387" s="1153" t="s">
        <v>961</v>
      </c>
      <c r="H387" s="1153" t="s">
        <v>334</v>
      </c>
      <c r="M387" s="1153" t="s">
        <v>1073</v>
      </c>
      <c r="N387" s="1153" t="s">
        <v>332</v>
      </c>
      <c r="Q387" s="1153" t="s">
        <v>1074</v>
      </c>
      <c r="R387" s="1153" t="s">
        <v>332</v>
      </c>
      <c r="S387" s="1153" t="s">
        <v>1075</v>
      </c>
      <c r="T387" s="1153" t="s">
        <v>312</v>
      </c>
      <c r="U387" s="1153" t="s">
        <v>869</v>
      </c>
      <c r="V387" s="1153" t="s">
        <v>333</v>
      </c>
      <c r="Y387" s="1153" t="s">
        <v>1001</v>
      </c>
      <c r="Z387" s="1153" t="s">
        <v>332</v>
      </c>
      <c r="AA387" s="1153" t="s">
        <v>993</v>
      </c>
      <c r="AB387" s="1153" t="s">
        <v>332</v>
      </c>
      <c r="AC387" s="1153" t="s">
        <v>994</v>
      </c>
      <c r="AD387" s="1153" t="s">
        <v>334</v>
      </c>
    </row>
    <row r="388" spans="1:30" s="1153" customFormat="1" ht="15" hidden="1" customHeight="1">
      <c r="A388" s="1153" t="s">
        <v>1070</v>
      </c>
      <c r="B388" s="1153" t="s">
        <v>336</v>
      </c>
      <c r="C388" s="1153" t="s">
        <v>1078</v>
      </c>
      <c r="D388" s="1153" t="s">
        <v>312</v>
      </c>
      <c r="G388" s="1153" t="s">
        <v>970</v>
      </c>
      <c r="H388" s="1153" t="s">
        <v>334</v>
      </c>
      <c r="M388" s="1153" t="s">
        <v>1080</v>
      </c>
      <c r="N388" s="1153" t="s">
        <v>333</v>
      </c>
      <c r="Q388" s="1153" t="s">
        <v>1088</v>
      </c>
      <c r="R388" s="1153" t="s">
        <v>332</v>
      </c>
      <c r="S388" s="1153" t="s">
        <v>1102</v>
      </c>
      <c r="T388" s="1153" t="s">
        <v>333</v>
      </c>
      <c r="U388" s="1153" t="s">
        <v>880</v>
      </c>
      <c r="V388" s="1153" t="s">
        <v>332</v>
      </c>
      <c r="Y388" s="1153" t="s">
        <v>1009</v>
      </c>
      <c r="Z388" s="1153" t="s">
        <v>332</v>
      </c>
      <c r="AA388" s="1153" t="s">
        <v>1002</v>
      </c>
      <c r="AB388" s="1153" t="s">
        <v>332</v>
      </c>
    </row>
    <row r="389" spans="1:30" s="1153" customFormat="1" ht="15" hidden="1" customHeight="1">
      <c r="A389" s="1153" t="s">
        <v>1077</v>
      </c>
      <c r="B389" s="1153" t="s">
        <v>335</v>
      </c>
      <c r="C389" s="1153" t="s">
        <v>1085</v>
      </c>
      <c r="D389" s="1153" t="s">
        <v>334</v>
      </c>
      <c r="G389" s="1153" t="s">
        <v>979</v>
      </c>
      <c r="H389" s="1153" t="s">
        <v>332</v>
      </c>
      <c r="M389" s="1153" t="s">
        <v>1087</v>
      </c>
      <c r="N389" s="1153" t="s">
        <v>332</v>
      </c>
      <c r="Q389" s="1153" t="s">
        <v>1081</v>
      </c>
      <c r="R389" s="1153" t="s">
        <v>312</v>
      </c>
      <c r="S389" s="1153" t="s">
        <v>1082</v>
      </c>
      <c r="T389" s="1153" t="s">
        <v>332</v>
      </c>
      <c r="U389" s="1153" t="s">
        <v>900</v>
      </c>
      <c r="V389" s="1153" t="s">
        <v>333</v>
      </c>
      <c r="Y389" s="1153" t="s">
        <v>1017</v>
      </c>
      <c r="Z389" s="1153" t="s">
        <v>332</v>
      </c>
      <c r="AA389" s="1153" t="s">
        <v>1010</v>
      </c>
      <c r="AB389" s="1153" t="s">
        <v>332</v>
      </c>
    </row>
    <row r="390" spans="1:30" s="1153" customFormat="1" ht="15" hidden="1" customHeight="1">
      <c r="A390" s="1153" t="s">
        <v>1084</v>
      </c>
      <c r="B390" s="1153" t="s">
        <v>336</v>
      </c>
      <c r="C390" s="1153" t="s">
        <v>1092</v>
      </c>
      <c r="D390" s="1153" t="s">
        <v>336</v>
      </c>
      <c r="G390" s="1153" t="s">
        <v>988</v>
      </c>
      <c r="H390" s="1153" t="s">
        <v>334</v>
      </c>
      <c r="M390" s="1153" t="s">
        <v>1094</v>
      </c>
      <c r="N390" s="1153" t="s">
        <v>332</v>
      </c>
      <c r="Q390" s="1153" t="s">
        <v>1095</v>
      </c>
      <c r="R390" s="1153" t="s">
        <v>332</v>
      </c>
      <c r="S390" s="1153" t="s">
        <v>1089</v>
      </c>
      <c r="T390" s="1153" t="s">
        <v>333</v>
      </c>
      <c r="U390" s="1153" t="s">
        <v>890</v>
      </c>
      <c r="V390" s="1153" t="s">
        <v>333</v>
      </c>
      <c r="Y390" s="1153" t="s">
        <v>1025</v>
      </c>
      <c r="Z390" s="1153" t="s">
        <v>332</v>
      </c>
      <c r="AA390" s="1153" t="s">
        <v>1018</v>
      </c>
      <c r="AB390" s="1153" t="s">
        <v>332</v>
      </c>
    </row>
    <row r="391" spans="1:30" s="1153" customFormat="1" ht="15" hidden="1" customHeight="1">
      <c r="A391" s="1153" t="s">
        <v>1091</v>
      </c>
      <c r="B391" s="1153" t="s">
        <v>333</v>
      </c>
      <c r="C391" s="1153" t="s">
        <v>1099</v>
      </c>
      <c r="D391" s="1153" t="s">
        <v>333</v>
      </c>
      <c r="G391" s="1153" t="s">
        <v>997</v>
      </c>
      <c r="H391" s="1153" t="s">
        <v>333</v>
      </c>
      <c r="M391" s="1153" t="s">
        <v>1100</v>
      </c>
      <c r="N391" s="1153" t="s">
        <v>334</v>
      </c>
      <c r="Q391" s="1153" t="s">
        <v>1101</v>
      </c>
      <c r="R391" s="1153" t="s">
        <v>332</v>
      </c>
      <c r="S391" s="1153" t="s">
        <v>1096</v>
      </c>
      <c r="T391" s="1153" t="s">
        <v>336</v>
      </c>
      <c r="U391" s="1153" t="s">
        <v>910</v>
      </c>
      <c r="V391" s="1153" t="s">
        <v>312</v>
      </c>
      <c r="Y391" s="1153" t="s">
        <v>1033</v>
      </c>
      <c r="Z391" s="1153" t="s">
        <v>333</v>
      </c>
      <c r="AA391" s="1153" t="s">
        <v>1026</v>
      </c>
      <c r="AB391" s="1153" t="s">
        <v>332</v>
      </c>
    </row>
    <row r="392" spans="1:30" s="1153" customFormat="1" ht="15" hidden="1" customHeight="1">
      <c r="A392" s="1153" t="s">
        <v>1098</v>
      </c>
      <c r="B392" s="1153" t="s">
        <v>335</v>
      </c>
      <c r="C392" s="1153" t="s">
        <v>1105</v>
      </c>
      <c r="D392" s="1153" t="s">
        <v>336</v>
      </c>
      <c r="G392" s="1153" t="s">
        <v>1005</v>
      </c>
      <c r="H392" s="1153" t="s">
        <v>332</v>
      </c>
      <c r="M392" s="1153" t="s">
        <v>1106</v>
      </c>
      <c r="N392" s="1153" t="s">
        <v>334</v>
      </c>
      <c r="Q392" s="1153" t="s">
        <v>1112</v>
      </c>
      <c r="R392" s="1153" t="s">
        <v>334</v>
      </c>
      <c r="S392" s="1153" t="s">
        <v>1108</v>
      </c>
      <c r="T392" s="1153" t="s">
        <v>332</v>
      </c>
      <c r="Y392" s="1153" t="s">
        <v>1041</v>
      </c>
      <c r="Z392" s="1153" t="s">
        <v>332</v>
      </c>
      <c r="AA392" s="1153" t="s">
        <v>1034</v>
      </c>
      <c r="AB392" s="1153" t="s">
        <v>332</v>
      </c>
    </row>
    <row r="393" spans="1:30" s="1153" customFormat="1" ht="15" hidden="1" customHeight="1">
      <c r="A393" s="1153" t="s">
        <v>1104</v>
      </c>
      <c r="B393" s="1153" t="s">
        <v>332</v>
      </c>
      <c r="C393" s="1153" t="s">
        <v>1110</v>
      </c>
      <c r="D393" s="1153" t="s">
        <v>336</v>
      </c>
      <c r="G393" s="1153" t="s">
        <v>1013</v>
      </c>
      <c r="H393" s="1153" t="s">
        <v>334</v>
      </c>
      <c r="M393" s="1153" t="s">
        <v>1111</v>
      </c>
      <c r="N393" s="1153" t="s">
        <v>336</v>
      </c>
      <c r="Q393" s="1153" t="s">
        <v>1107</v>
      </c>
      <c r="R393" s="1153" t="s">
        <v>312</v>
      </c>
      <c r="S393" s="1153" t="s">
        <v>1113</v>
      </c>
      <c r="T393" s="1153" t="s">
        <v>334</v>
      </c>
      <c r="Y393" s="1153" t="s">
        <v>1048</v>
      </c>
      <c r="Z393" s="1153" t="s">
        <v>333</v>
      </c>
    </row>
    <row r="394" spans="1:30" s="1153" customFormat="1" ht="15" hidden="1" customHeight="1">
      <c r="A394" s="1153" t="s">
        <v>1114</v>
      </c>
      <c r="B394" s="1153" t="s">
        <v>333</v>
      </c>
      <c r="C394" s="1153" t="s">
        <v>1115</v>
      </c>
      <c r="D394" s="1153" t="s">
        <v>335</v>
      </c>
      <c r="G394" s="1153" t="s">
        <v>1021</v>
      </c>
      <c r="H394" s="1153" t="s">
        <v>333</v>
      </c>
      <c r="M394" s="1153" t="s">
        <v>1116</v>
      </c>
      <c r="N394" s="1153" t="s">
        <v>335</v>
      </c>
      <c r="Q394" s="1153" t="s">
        <v>1117</v>
      </c>
      <c r="R394" s="1153" t="s">
        <v>312</v>
      </c>
      <c r="S394" s="1153" t="s">
        <v>1118</v>
      </c>
      <c r="T394" s="1153" t="s">
        <v>333</v>
      </c>
      <c r="Y394" s="1153" t="s">
        <v>1055</v>
      </c>
      <c r="Z394" s="1153" t="s">
        <v>332</v>
      </c>
    </row>
    <row r="395" spans="1:30" s="1153" customFormat="1" ht="15" hidden="1" customHeight="1">
      <c r="A395" s="1153" t="s">
        <v>1119</v>
      </c>
      <c r="B395" s="1153" t="s">
        <v>333</v>
      </c>
      <c r="C395" s="1153" t="s">
        <v>1120</v>
      </c>
      <c r="D395" s="1153" t="s">
        <v>336</v>
      </c>
      <c r="G395" s="1153" t="s">
        <v>1029</v>
      </c>
      <c r="H395" s="1153" t="s">
        <v>334</v>
      </c>
      <c r="M395" s="1153" t="s">
        <v>1121</v>
      </c>
      <c r="N395" s="1153" t="s">
        <v>333</v>
      </c>
      <c r="Q395" s="1153" t="s">
        <v>1122</v>
      </c>
      <c r="R395" s="1153" t="s">
        <v>333</v>
      </c>
      <c r="S395" s="1153" t="s">
        <v>1123</v>
      </c>
      <c r="T395" s="1153" t="s">
        <v>332</v>
      </c>
      <c r="Y395" s="1153" t="s">
        <v>1062</v>
      </c>
      <c r="Z395" s="1153" t="s">
        <v>312</v>
      </c>
    </row>
    <row r="396" spans="1:30" s="1153" customFormat="1" ht="15" hidden="1" customHeight="1">
      <c r="A396" s="1153" t="s">
        <v>1109</v>
      </c>
      <c r="B396" s="1153" t="s">
        <v>335</v>
      </c>
      <c r="C396" s="1153" t="s">
        <v>1125</v>
      </c>
      <c r="D396" s="1153" t="s">
        <v>333</v>
      </c>
      <c r="G396" s="1153" t="s">
        <v>1037</v>
      </c>
      <c r="H396" s="1153" t="s">
        <v>332</v>
      </c>
      <c r="M396" s="1153" t="s">
        <v>1126</v>
      </c>
      <c r="N396" s="1153" t="s">
        <v>312</v>
      </c>
      <c r="Q396" s="1153" t="s">
        <v>1127</v>
      </c>
      <c r="R396" s="1153" t="s">
        <v>332</v>
      </c>
      <c r="S396" s="1153" t="s">
        <v>1128</v>
      </c>
      <c r="T396" s="1153" t="s">
        <v>333</v>
      </c>
      <c r="Y396" s="1153" t="s">
        <v>1069</v>
      </c>
      <c r="Z396" s="1153" t="s">
        <v>332</v>
      </c>
    </row>
    <row r="397" spans="1:30" s="1153" customFormat="1" ht="15" hidden="1" customHeight="1">
      <c r="A397" s="1153" t="s">
        <v>1124</v>
      </c>
      <c r="B397" s="1153" t="s">
        <v>332</v>
      </c>
      <c r="C397" s="1153" t="s">
        <v>1130</v>
      </c>
      <c r="D397" s="1153" t="s">
        <v>336</v>
      </c>
      <c r="G397" s="1153" t="s">
        <v>1044</v>
      </c>
      <c r="H397" s="1153" t="s">
        <v>333</v>
      </c>
      <c r="M397" s="1153" t="s">
        <v>1131</v>
      </c>
      <c r="N397" s="1153" t="s">
        <v>336</v>
      </c>
      <c r="Q397" s="1153" t="s">
        <v>1132</v>
      </c>
      <c r="R397" s="1153" t="s">
        <v>332</v>
      </c>
      <c r="S397" s="1153" t="s">
        <v>1133</v>
      </c>
      <c r="T397" s="1153" t="s">
        <v>332</v>
      </c>
      <c r="Y397" s="1153" t="s">
        <v>1076</v>
      </c>
      <c r="Z397" s="1153" t="s">
        <v>332</v>
      </c>
    </row>
    <row r="398" spans="1:30" s="1153" customFormat="1" ht="15" hidden="1" customHeight="1">
      <c r="A398" s="1153" t="s">
        <v>1129</v>
      </c>
      <c r="B398" s="1153" t="s">
        <v>333</v>
      </c>
      <c r="C398" s="1153" t="s">
        <v>1135</v>
      </c>
      <c r="D398" s="1153" t="s">
        <v>332</v>
      </c>
      <c r="G398" s="1153" t="s">
        <v>1051</v>
      </c>
      <c r="H398" s="1153" t="s">
        <v>332</v>
      </c>
      <c r="M398" s="1153" t="s">
        <v>1136</v>
      </c>
      <c r="N398" s="1153" t="s">
        <v>335</v>
      </c>
      <c r="Q398" s="1153" t="s">
        <v>1137</v>
      </c>
      <c r="R398" s="1153" t="s">
        <v>312</v>
      </c>
      <c r="S398" s="1153" t="s">
        <v>1138</v>
      </c>
      <c r="T398" s="1153" t="s">
        <v>333</v>
      </c>
      <c r="Y398" s="1153" t="s">
        <v>1083</v>
      </c>
      <c r="Z398" s="1153" t="s">
        <v>332</v>
      </c>
    </row>
    <row r="399" spans="1:30" s="1153" customFormat="1" ht="15" hidden="1" customHeight="1">
      <c r="A399" s="1153" t="s">
        <v>1134</v>
      </c>
      <c r="B399" s="1153" t="s">
        <v>335</v>
      </c>
      <c r="C399" s="1153" t="s">
        <v>1140</v>
      </c>
      <c r="D399" s="1153" t="s">
        <v>312</v>
      </c>
      <c r="G399" s="1153" t="s">
        <v>1058</v>
      </c>
      <c r="H399" s="1153" t="s">
        <v>334</v>
      </c>
      <c r="M399" s="1153" t="s">
        <v>1141</v>
      </c>
      <c r="N399" s="1153" t="s">
        <v>333</v>
      </c>
      <c r="Q399" s="1153" t="s">
        <v>1142</v>
      </c>
      <c r="R399" s="1153" t="s">
        <v>312</v>
      </c>
      <c r="S399" s="1153" t="s">
        <v>1143</v>
      </c>
      <c r="T399" s="1153" t="s">
        <v>332</v>
      </c>
      <c r="Y399" s="1153" t="s">
        <v>1090</v>
      </c>
      <c r="Z399" s="1153" t="s">
        <v>312</v>
      </c>
    </row>
    <row r="400" spans="1:30" s="1153" customFormat="1" ht="15" hidden="1" customHeight="1">
      <c r="A400" s="1153" t="s">
        <v>1139</v>
      </c>
      <c r="B400" s="1153" t="s">
        <v>333</v>
      </c>
      <c r="C400" s="1153" t="s">
        <v>1145</v>
      </c>
      <c r="D400" s="1153" t="s">
        <v>336</v>
      </c>
      <c r="G400" s="1153" t="s">
        <v>1065</v>
      </c>
      <c r="H400" s="1153" t="s">
        <v>332</v>
      </c>
      <c r="M400" s="1153" t="s">
        <v>1146</v>
      </c>
      <c r="N400" s="1153" t="s">
        <v>332</v>
      </c>
      <c r="Q400" s="1153" t="s">
        <v>1147</v>
      </c>
      <c r="R400" s="1153" t="s">
        <v>332</v>
      </c>
      <c r="S400" s="1153" t="s">
        <v>1148</v>
      </c>
      <c r="T400" s="1153" t="s">
        <v>332</v>
      </c>
      <c r="Y400" s="1153" t="s">
        <v>1097</v>
      </c>
      <c r="Z400" s="1153" t="s">
        <v>332</v>
      </c>
    </row>
    <row r="401" spans="1:26" s="1153" customFormat="1" ht="15" hidden="1" customHeight="1">
      <c r="A401" s="1153" t="s">
        <v>1144</v>
      </c>
      <c r="B401" s="1153" t="s">
        <v>332</v>
      </c>
      <c r="C401" s="1153" t="s">
        <v>1150</v>
      </c>
      <c r="D401" s="1153" t="s">
        <v>336</v>
      </c>
      <c r="G401" s="1153" t="s">
        <v>1072</v>
      </c>
      <c r="H401" s="1153" t="s">
        <v>312</v>
      </c>
      <c r="M401" s="1153" t="s">
        <v>1151</v>
      </c>
      <c r="N401" s="1153" t="s">
        <v>335</v>
      </c>
      <c r="Q401" s="1153" t="s">
        <v>1152</v>
      </c>
      <c r="R401" s="1153" t="s">
        <v>334</v>
      </c>
      <c r="S401" s="1153" t="s">
        <v>1153</v>
      </c>
      <c r="T401" s="1153" t="s">
        <v>334</v>
      </c>
      <c r="Y401" s="1153" t="s">
        <v>1103</v>
      </c>
      <c r="Z401" s="1153" t="s">
        <v>312</v>
      </c>
    </row>
    <row r="402" spans="1:26" s="1153" customFormat="1" ht="15" hidden="1" customHeight="1">
      <c r="A402" s="1153" t="s">
        <v>1149</v>
      </c>
      <c r="B402" s="1153" t="s">
        <v>332</v>
      </c>
      <c r="C402" s="1153" t="s">
        <v>1155</v>
      </c>
      <c r="D402" s="1153" t="s">
        <v>312</v>
      </c>
      <c r="G402" s="1153" t="s">
        <v>1079</v>
      </c>
      <c r="H402" s="1153" t="s">
        <v>312</v>
      </c>
      <c r="M402" s="1153" t="s">
        <v>1156</v>
      </c>
      <c r="N402" s="1153" t="s">
        <v>312</v>
      </c>
      <c r="Q402" s="1153" t="s">
        <v>1157</v>
      </c>
      <c r="R402" s="1153" t="s">
        <v>312</v>
      </c>
      <c r="S402" s="1153" t="s">
        <v>1158</v>
      </c>
      <c r="T402" s="1153" t="s">
        <v>333</v>
      </c>
    </row>
    <row r="403" spans="1:26" s="1153" customFormat="1" ht="15" hidden="1" customHeight="1">
      <c r="A403" s="1153" t="s">
        <v>1154</v>
      </c>
      <c r="B403" s="1153" t="s">
        <v>333</v>
      </c>
      <c r="C403" s="1153" t="s">
        <v>1160</v>
      </c>
      <c r="D403" s="1153" t="s">
        <v>332</v>
      </c>
      <c r="G403" s="1153" t="s">
        <v>1086</v>
      </c>
      <c r="H403" s="1153" t="s">
        <v>332</v>
      </c>
      <c r="M403" s="1153" t="s">
        <v>1161</v>
      </c>
      <c r="N403" s="1153" t="s">
        <v>312</v>
      </c>
      <c r="Q403" s="1153" t="s">
        <v>1162</v>
      </c>
      <c r="R403" s="1153" t="s">
        <v>312</v>
      </c>
      <c r="S403" s="1153" t="s">
        <v>1163</v>
      </c>
      <c r="T403" s="1153" t="s">
        <v>334</v>
      </c>
    </row>
    <row r="404" spans="1:26" s="1153" customFormat="1" ht="15" hidden="1" customHeight="1">
      <c r="A404" s="1153" t="s">
        <v>1159</v>
      </c>
      <c r="B404" s="1153" t="s">
        <v>333</v>
      </c>
      <c r="C404" s="1153" t="s">
        <v>1165</v>
      </c>
      <c r="D404" s="1153" t="s">
        <v>312</v>
      </c>
      <c r="G404" s="1153" t="s">
        <v>1093</v>
      </c>
      <c r="H404" s="1153" t="s">
        <v>332</v>
      </c>
      <c r="M404" s="1153" t="s">
        <v>1176</v>
      </c>
      <c r="N404" s="1153" t="s">
        <v>332</v>
      </c>
      <c r="Q404" s="1153" t="s">
        <v>1167</v>
      </c>
      <c r="R404" s="1153" t="s">
        <v>333</v>
      </c>
      <c r="S404" s="1153" t="s">
        <v>1168</v>
      </c>
      <c r="T404" s="1153" t="s">
        <v>332</v>
      </c>
    </row>
    <row r="405" spans="1:26" s="1153" customFormat="1" ht="15" hidden="1" customHeight="1">
      <c r="A405" s="1153" t="s">
        <v>1164</v>
      </c>
      <c r="B405" s="1153" t="s">
        <v>333</v>
      </c>
      <c r="C405" s="1153" t="s">
        <v>1170</v>
      </c>
      <c r="D405" s="1153" t="s">
        <v>335</v>
      </c>
      <c r="M405" s="1153" t="s">
        <v>1166</v>
      </c>
      <c r="N405" s="1153" t="s">
        <v>332</v>
      </c>
      <c r="Q405" s="1153" t="s">
        <v>1172</v>
      </c>
      <c r="R405" s="1153" t="s">
        <v>312</v>
      </c>
      <c r="S405" s="1153" t="s">
        <v>1173</v>
      </c>
      <c r="T405" s="1153" t="s">
        <v>333</v>
      </c>
    </row>
    <row r="406" spans="1:26" s="1153" customFormat="1" ht="15" hidden="1" customHeight="1">
      <c r="A406" s="1153" t="s">
        <v>1169</v>
      </c>
      <c r="B406" s="1153" t="s">
        <v>334</v>
      </c>
      <c r="C406" s="1153" t="s">
        <v>1175</v>
      </c>
      <c r="D406" s="1153" t="s">
        <v>333</v>
      </c>
      <c r="M406" s="1153" t="s">
        <v>1171</v>
      </c>
      <c r="N406" s="1153" t="s">
        <v>332</v>
      </c>
      <c r="Q406" s="1153" t="s">
        <v>1177</v>
      </c>
      <c r="R406" s="1153" t="s">
        <v>312</v>
      </c>
      <c r="S406" s="1153" t="s">
        <v>1178</v>
      </c>
      <c r="T406" s="1153" t="s">
        <v>332</v>
      </c>
    </row>
    <row r="407" spans="1:26" s="1153" customFormat="1" ht="15" hidden="1" customHeight="1">
      <c r="A407" s="1153" t="s">
        <v>1174</v>
      </c>
      <c r="B407" s="1153" t="s">
        <v>335</v>
      </c>
      <c r="C407" s="1153" t="s">
        <v>1180</v>
      </c>
      <c r="D407" s="1153" t="s">
        <v>333</v>
      </c>
      <c r="M407" s="1153" t="s">
        <v>1181</v>
      </c>
      <c r="N407" s="1153" t="s">
        <v>333</v>
      </c>
      <c r="Q407" s="1153" t="s">
        <v>1182</v>
      </c>
      <c r="R407" s="1153" t="s">
        <v>332</v>
      </c>
      <c r="S407" s="1153" t="s">
        <v>1183</v>
      </c>
      <c r="T407" s="1153" t="s">
        <v>334</v>
      </c>
    </row>
    <row r="408" spans="1:26" s="1153" customFormat="1" ht="15" hidden="1" customHeight="1">
      <c r="A408" s="1153" t="s">
        <v>1179</v>
      </c>
      <c r="B408" s="1153" t="s">
        <v>312</v>
      </c>
      <c r="C408" s="1153" t="s">
        <v>1185</v>
      </c>
      <c r="D408" s="1153" t="s">
        <v>312</v>
      </c>
      <c r="M408" s="1153" t="s">
        <v>1186</v>
      </c>
      <c r="N408" s="1153" t="s">
        <v>335</v>
      </c>
      <c r="Q408" s="1153" t="s">
        <v>1187</v>
      </c>
      <c r="R408" s="1153" t="s">
        <v>312</v>
      </c>
      <c r="S408" s="1153" t="s">
        <v>1188</v>
      </c>
      <c r="T408" s="1153" t="s">
        <v>333</v>
      </c>
    </row>
    <row r="409" spans="1:26" s="1153" customFormat="1" ht="15" hidden="1" customHeight="1">
      <c r="A409" s="1153" t="s">
        <v>1184</v>
      </c>
      <c r="B409" s="1153" t="s">
        <v>334</v>
      </c>
      <c r="C409" s="1153" t="s">
        <v>1190</v>
      </c>
      <c r="D409" s="1153" t="s">
        <v>332</v>
      </c>
      <c r="M409" s="1153" t="s">
        <v>1191</v>
      </c>
      <c r="N409" s="1153" t="s">
        <v>333</v>
      </c>
      <c r="Q409" s="1153" t="s">
        <v>1192</v>
      </c>
      <c r="R409" s="1153" t="s">
        <v>333</v>
      </c>
      <c r="S409" s="1153" t="s">
        <v>1193</v>
      </c>
      <c r="T409" s="1153" t="s">
        <v>312</v>
      </c>
    </row>
    <row r="410" spans="1:26" s="1153" customFormat="1" ht="15" hidden="1" customHeight="1">
      <c r="A410" s="1153" t="s">
        <v>1189</v>
      </c>
      <c r="B410" s="1153" t="s">
        <v>334</v>
      </c>
      <c r="C410" s="1153" t="s">
        <v>1195</v>
      </c>
      <c r="D410" s="1153" t="s">
        <v>312</v>
      </c>
      <c r="M410" s="1153" t="s">
        <v>1196</v>
      </c>
      <c r="N410" s="1153" t="s">
        <v>332</v>
      </c>
      <c r="Q410" s="1153" t="s">
        <v>1197</v>
      </c>
      <c r="R410" s="1153" t="s">
        <v>334</v>
      </c>
      <c r="S410" s="1153" t="s">
        <v>1198</v>
      </c>
      <c r="T410" s="1153" t="s">
        <v>312</v>
      </c>
    </row>
    <row r="411" spans="1:26" s="1153" customFormat="1" ht="15" hidden="1" customHeight="1">
      <c r="A411" s="1153" t="s">
        <v>1194</v>
      </c>
      <c r="B411" s="1153" t="s">
        <v>335</v>
      </c>
      <c r="C411" s="1153" t="s">
        <v>1210</v>
      </c>
      <c r="D411" s="1153" t="s">
        <v>312</v>
      </c>
      <c r="M411" s="1153" t="s">
        <v>1201</v>
      </c>
      <c r="N411" s="1153" t="s">
        <v>336</v>
      </c>
      <c r="Q411" s="1153" t="s">
        <v>1202</v>
      </c>
      <c r="R411" s="1153" t="s">
        <v>332</v>
      </c>
      <c r="S411" s="1153" t="s">
        <v>1203</v>
      </c>
      <c r="T411" s="1153" t="s">
        <v>334</v>
      </c>
    </row>
    <row r="412" spans="1:26" s="1153" customFormat="1" ht="15" hidden="1" customHeight="1">
      <c r="A412" s="1153" t="s">
        <v>1199</v>
      </c>
      <c r="B412" s="1153" t="s">
        <v>333</v>
      </c>
      <c r="C412" s="1153" t="s">
        <v>1200</v>
      </c>
      <c r="D412" s="1153" t="s">
        <v>336</v>
      </c>
      <c r="M412" s="1153" t="s">
        <v>1206</v>
      </c>
      <c r="N412" s="1153" t="s">
        <v>334</v>
      </c>
      <c r="Q412" s="1153" t="s">
        <v>1207</v>
      </c>
      <c r="R412" s="1153" t="s">
        <v>334</v>
      </c>
      <c r="S412" s="1153" t="s">
        <v>1208</v>
      </c>
      <c r="T412" s="1153" t="s">
        <v>332</v>
      </c>
    </row>
    <row r="413" spans="1:26" s="1153" customFormat="1" ht="15" hidden="1" customHeight="1">
      <c r="A413" s="1153" t="s">
        <v>1204</v>
      </c>
      <c r="B413" s="1153" t="s">
        <v>334</v>
      </c>
      <c r="C413" s="1153" t="s">
        <v>1215</v>
      </c>
      <c r="D413" s="1153" t="s">
        <v>335</v>
      </c>
      <c r="M413" s="1153" t="s">
        <v>1211</v>
      </c>
      <c r="N413" s="1153" t="s">
        <v>332</v>
      </c>
      <c r="Q413" s="1153" t="s">
        <v>1212</v>
      </c>
      <c r="R413" s="1153" t="s">
        <v>312</v>
      </c>
      <c r="S413" s="1153" t="s">
        <v>1213</v>
      </c>
      <c r="T413" s="1153" t="s">
        <v>332</v>
      </c>
    </row>
    <row r="414" spans="1:26" s="1153" customFormat="1" ht="15" hidden="1" customHeight="1">
      <c r="A414" s="1153" t="s">
        <v>1209</v>
      </c>
      <c r="B414" s="1153" t="s">
        <v>334</v>
      </c>
      <c r="C414" s="1153" t="s">
        <v>1205</v>
      </c>
      <c r="D414" s="1153" t="s">
        <v>332</v>
      </c>
      <c r="M414" s="1153" t="s">
        <v>1216</v>
      </c>
      <c r="N414" s="1153" t="s">
        <v>336</v>
      </c>
      <c r="Q414" s="1153" t="s">
        <v>1217</v>
      </c>
      <c r="R414" s="1153" t="s">
        <v>332</v>
      </c>
      <c r="S414" s="1153" t="s">
        <v>1218</v>
      </c>
      <c r="T414" s="1153" t="s">
        <v>312</v>
      </c>
    </row>
    <row r="415" spans="1:26" s="1153" customFormat="1" ht="15" hidden="1" customHeight="1">
      <c r="A415" s="1153" t="s">
        <v>1214</v>
      </c>
      <c r="B415" s="1153" t="s">
        <v>333</v>
      </c>
      <c r="C415" s="1153" t="s">
        <v>1220</v>
      </c>
      <c r="D415" s="1153" t="s">
        <v>332</v>
      </c>
      <c r="M415" s="1153" t="s">
        <v>1221</v>
      </c>
      <c r="N415" s="1153" t="s">
        <v>332</v>
      </c>
      <c r="Q415" s="1153" t="s">
        <v>2074</v>
      </c>
      <c r="R415" s="1153" t="s">
        <v>312</v>
      </c>
      <c r="S415" s="1153" t="s">
        <v>1223</v>
      </c>
      <c r="T415" s="1153" t="s">
        <v>332</v>
      </c>
    </row>
    <row r="416" spans="1:26" s="1153" customFormat="1" ht="15" hidden="1" customHeight="1">
      <c r="A416" s="1153" t="s">
        <v>1219</v>
      </c>
      <c r="B416" s="1153" t="s">
        <v>332</v>
      </c>
      <c r="C416" s="1153" t="s">
        <v>1225</v>
      </c>
      <c r="D416" s="1153" t="s">
        <v>333</v>
      </c>
      <c r="M416" s="1153" t="s">
        <v>2053</v>
      </c>
      <c r="N416" s="1153" t="s">
        <v>332</v>
      </c>
      <c r="Q416" s="1153" t="s">
        <v>2075</v>
      </c>
      <c r="R416" s="1153" t="s">
        <v>312</v>
      </c>
      <c r="S416" s="1153" t="s">
        <v>1228</v>
      </c>
      <c r="T416" s="1153" t="s">
        <v>333</v>
      </c>
    </row>
    <row r="417" spans="1:20" s="1153" customFormat="1" ht="15" hidden="1" customHeight="1">
      <c r="A417" s="1153" t="s">
        <v>1224</v>
      </c>
      <c r="B417" s="1153" t="s">
        <v>335</v>
      </c>
      <c r="C417" s="1153" t="s">
        <v>1230</v>
      </c>
      <c r="D417" s="1153" t="s">
        <v>333</v>
      </c>
      <c r="M417" s="1153" t="s">
        <v>2054</v>
      </c>
      <c r="N417" s="1153" t="s">
        <v>334</v>
      </c>
      <c r="Q417" s="1153" t="s">
        <v>2076</v>
      </c>
      <c r="R417" s="1153" t="s">
        <v>312</v>
      </c>
      <c r="S417" s="1153" t="s">
        <v>1233</v>
      </c>
      <c r="T417" s="1153" t="s">
        <v>332</v>
      </c>
    </row>
    <row r="418" spans="1:20" s="1153" customFormat="1" ht="15" hidden="1" customHeight="1">
      <c r="A418" s="1153" t="s">
        <v>1229</v>
      </c>
      <c r="B418" s="1153" t="s">
        <v>334</v>
      </c>
      <c r="C418" s="1153" t="s">
        <v>1235</v>
      </c>
      <c r="D418" s="1153" t="s">
        <v>336</v>
      </c>
      <c r="M418" s="1153" t="s">
        <v>2055</v>
      </c>
      <c r="N418" s="1153" t="s">
        <v>312</v>
      </c>
      <c r="Q418" s="1153" t="s">
        <v>2077</v>
      </c>
      <c r="R418" s="1153" t="s">
        <v>312</v>
      </c>
      <c r="S418" s="1153" t="s">
        <v>1238</v>
      </c>
      <c r="T418" s="1153" t="s">
        <v>332</v>
      </c>
    </row>
    <row r="419" spans="1:20" s="1153" customFormat="1" ht="15" hidden="1" customHeight="1">
      <c r="A419" s="1153" t="s">
        <v>1234</v>
      </c>
      <c r="B419" s="1153" t="s">
        <v>336</v>
      </c>
      <c r="C419" s="1153" t="s">
        <v>1240</v>
      </c>
      <c r="D419" s="1153" t="s">
        <v>336</v>
      </c>
      <c r="M419" s="1153" t="s">
        <v>2056</v>
      </c>
      <c r="N419" s="1153" t="s">
        <v>332</v>
      </c>
      <c r="Q419" s="1153" t="s">
        <v>2078</v>
      </c>
      <c r="R419" s="1153" t="s">
        <v>312</v>
      </c>
      <c r="S419" s="1153" t="s">
        <v>1243</v>
      </c>
      <c r="T419" s="1153" t="s">
        <v>332</v>
      </c>
    </row>
    <row r="420" spans="1:20" s="1153" customFormat="1" ht="15" hidden="1" customHeight="1">
      <c r="A420" s="1153" t="s">
        <v>1239</v>
      </c>
      <c r="B420" s="1153" t="s">
        <v>333</v>
      </c>
      <c r="C420" s="1153" t="s">
        <v>1245</v>
      </c>
      <c r="D420" s="1153" t="s">
        <v>312</v>
      </c>
      <c r="M420" s="1153" t="s">
        <v>2057</v>
      </c>
      <c r="N420" s="1153" t="s">
        <v>334</v>
      </c>
      <c r="Q420" s="1153" t="s">
        <v>2079</v>
      </c>
      <c r="R420" s="1153" t="s">
        <v>312</v>
      </c>
      <c r="S420" s="1153" t="s">
        <v>1248</v>
      </c>
      <c r="T420" s="1153" t="s">
        <v>333</v>
      </c>
    </row>
    <row r="421" spans="1:20" s="1153" customFormat="1" ht="15" hidden="1" customHeight="1">
      <c r="A421" s="1153" t="s">
        <v>1244</v>
      </c>
      <c r="B421" s="1153" t="s">
        <v>333</v>
      </c>
      <c r="C421" s="1153" t="s">
        <v>1250</v>
      </c>
      <c r="D421" s="1153" t="s">
        <v>332</v>
      </c>
      <c r="M421" s="1153" t="s">
        <v>2058</v>
      </c>
      <c r="N421" s="1153" t="s">
        <v>312</v>
      </c>
      <c r="Q421" s="1153" t="s">
        <v>2080</v>
      </c>
      <c r="R421" s="1153" t="s">
        <v>312</v>
      </c>
      <c r="S421" s="1153" t="s">
        <v>1253</v>
      </c>
      <c r="T421" s="1153" t="s">
        <v>332</v>
      </c>
    </row>
    <row r="422" spans="1:20" s="1153" customFormat="1" ht="15" hidden="1" customHeight="1">
      <c r="A422" s="1153" t="s">
        <v>1249</v>
      </c>
      <c r="B422" s="1153" t="s">
        <v>333</v>
      </c>
      <c r="C422" s="1153" t="s">
        <v>1255</v>
      </c>
      <c r="D422" s="1153" t="s">
        <v>334</v>
      </c>
      <c r="M422" s="1153" t="s">
        <v>2059</v>
      </c>
      <c r="N422" s="1153" t="s">
        <v>334</v>
      </c>
      <c r="Q422" s="1153" t="s">
        <v>2081</v>
      </c>
      <c r="R422" s="1153" t="s">
        <v>312</v>
      </c>
      <c r="S422" s="1153" t="s">
        <v>1258</v>
      </c>
      <c r="T422" s="1153" t="s">
        <v>333</v>
      </c>
    </row>
    <row r="423" spans="1:20" s="1153" customFormat="1" ht="15" hidden="1" customHeight="1">
      <c r="A423" s="1153" t="s">
        <v>1254</v>
      </c>
      <c r="B423" s="1153" t="s">
        <v>333</v>
      </c>
      <c r="C423" s="1153" t="s">
        <v>1260</v>
      </c>
      <c r="D423" s="1153" t="s">
        <v>332</v>
      </c>
      <c r="M423" s="1153" t="s">
        <v>2060</v>
      </c>
      <c r="N423" s="1153" t="s">
        <v>312</v>
      </c>
      <c r="Q423" s="1153" t="s">
        <v>2082</v>
      </c>
      <c r="R423" s="1153" t="s">
        <v>312</v>
      </c>
      <c r="S423" s="1153" t="s">
        <v>1263</v>
      </c>
      <c r="T423" s="1153" t="s">
        <v>333</v>
      </c>
    </row>
    <row r="424" spans="1:20" s="1153" customFormat="1" ht="15" hidden="1" customHeight="1">
      <c r="A424" s="1153" t="s">
        <v>1259</v>
      </c>
      <c r="B424" s="1153" t="s">
        <v>334</v>
      </c>
      <c r="C424" s="1153" t="s">
        <v>1265</v>
      </c>
      <c r="D424" s="1153" t="s">
        <v>333</v>
      </c>
      <c r="M424" s="1153" t="s">
        <v>2061</v>
      </c>
      <c r="N424" s="1153" t="s">
        <v>312</v>
      </c>
      <c r="Q424" s="1153" t="s">
        <v>2083</v>
      </c>
      <c r="R424" s="1153" t="s">
        <v>312</v>
      </c>
      <c r="S424" s="1153" t="s">
        <v>1268</v>
      </c>
      <c r="T424" s="1153" t="s">
        <v>333</v>
      </c>
    </row>
    <row r="425" spans="1:20" s="1153" customFormat="1" ht="15" hidden="1" customHeight="1">
      <c r="A425" s="1153" t="s">
        <v>1264</v>
      </c>
      <c r="B425" s="1153" t="s">
        <v>333</v>
      </c>
      <c r="C425" s="1153" t="s">
        <v>1270</v>
      </c>
      <c r="D425" s="1153" t="s">
        <v>336</v>
      </c>
      <c r="M425" s="1153" t="s">
        <v>2062</v>
      </c>
      <c r="N425" s="1153" t="s">
        <v>332</v>
      </c>
      <c r="Q425" s="1153" t="s">
        <v>2084</v>
      </c>
      <c r="R425" s="1153" t="s">
        <v>312</v>
      </c>
      <c r="S425" s="1153" t="s">
        <v>1273</v>
      </c>
      <c r="T425" s="1153" t="s">
        <v>334</v>
      </c>
    </row>
    <row r="426" spans="1:20" s="1153" customFormat="1" ht="15" hidden="1" customHeight="1">
      <c r="A426" s="1153" t="s">
        <v>1269</v>
      </c>
      <c r="B426" s="1153" t="s">
        <v>334</v>
      </c>
      <c r="C426" s="1153" t="s">
        <v>1275</v>
      </c>
      <c r="D426" s="1153" t="s">
        <v>335</v>
      </c>
      <c r="M426" s="1153" t="s">
        <v>2063</v>
      </c>
      <c r="N426" s="1153" t="s">
        <v>333</v>
      </c>
      <c r="Q426" s="1153" t="s">
        <v>2085</v>
      </c>
      <c r="R426" s="1153" t="s">
        <v>312</v>
      </c>
      <c r="S426" s="1153" t="s">
        <v>1278</v>
      </c>
      <c r="T426" s="1153" t="s">
        <v>332</v>
      </c>
    </row>
    <row r="427" spans="1:20" s="1153" customFormat="1" ht="15" hidden="1" customHeight="1">
      <c r="A427" s="1153" t="s">
        <v>1274</v>
      </c>
      <c r="B427" s="1153" t="s">
        <v>333</v>
      </c>
      <c r="C427" s="1153" t="s">
        <v>1280</v>
      </c>
      <c r="D427" s="1153" t="s">
        <v>334</v>
      </c>
      <c r="M427" s="1153" t="s">
        <v>2064</v>
      </c>
      <c r="N427" s="1153" t="s">
        <v>336</v>
      </c>
      <c r="Q427" s="1153" t="s">
        <v>2086</v>
      </c>
      <c r="R427" s="1153" t="s">
        <v>334</v>
      </c>
      <c r="S427" s="1153" t="s">
        <v>1288</v>
      </c>
      <c r="T427" s="1153" t="s">
        <v>332</v>
      </c>
    </row>
    <row r="428" spans="1:20" s="1153" customFormat="1" ht="15" hidden="1" customHeight="1">
      <c r="A428" s="1153" t="s">
        <v>1279</v>
      </c>
      <c r="B428" s="1153" t="s">
        <v>335</v>
      </c>
      <c r="C428" s="1153" t="s">
        <v>1285</v>
      </c>
      <c r="D428" s="1153" t="s">
        <v>332</v>
      </c>
      <c r="M428" s="1153" t="s">
        <v>2065</v>
      </c>
      <c r="N428" s="1153" t="s">
        <v>312</v>
      </c>
      <c r="Q428" s="1153" t="s">
        <v>2087</v>
      </c>
      <c r="R428" s="1153" t="s">
        <v>312</v>
      </c>
      <c r="S428" s="1153" t="s">
        <v>1283</v>
      </c>
      <c r="T428" s="1153" t="s">
        <v>333</v>
      </c>
    </row>
    <row r="429" spans="1:20" s="1153" customFormat="1" ht="15" hidden="1" customHeight="1">
      <c r="A429" s="1153" t="s">
        <v>1284</v>
      </c>
      <c r="B429" s="1153" t="s">
        <v>336</v>
      </c>
      <c r="C429" s="1153" t="s">
        <v>1295</v>
      </c>
      <c r="D429" s="1153" t="s">
        <v>335</v>
      </c>
      <c r="M429" s="1153" t="s">
        <v>2066</v>
      </c>
      <c r="N429" s="1153" t="s">
        <v>332</v>
      </c>
      <c r="Q429" s="1153" t="s">
        <v>2088</v>
      </c>
      <c r="R429" s="1153" t="s">
        <v>312</v>
      </c>
      <c r="S429" s="1153" t="s">
        <v>1293</v>
      </c>
      <c r="T429" s="1153" t="s">
        <v>334</v>
      </c>
    </row>
    <row r="430" spans="1:20" s="1153" customFormat="1" ht="15" hidden="1" customHeight="1">
      <c r="A430" s="1153" t="s">
        <v>1289</v>
      </c>
      <c r="B430" s="1153" t="s">
        <v>334</v>
      </c>
      <c r="C430" s="1153" t="s">
        <v>1290</v>
      </c>
      <c r="D430" s="1153" t="s">
        <v>334</v>
      </c>
      <c r="M430" s="1153" t="s">
        <v>2067</v>
      </c>
      <c r="N430" s="1153" t="s">
        <v>333</v>
      </c>
      <c r="Q430" s="1153" t="s">
        <v>2089</v>
      </c>
      <c r="R430" s="1153" t="s">
        <v>312</v>
      </c>
      <c r="S430" s="1153" t="s">
        <v>1298</v>
      </c>
      <c r="T430" s="1153" t="s">
        <v>333</v>
      </c>
    </row>
    <row r="431" spans="1:20" s="1153" customFormat="1" ht="15" hidden="1" customHeight="1">
      <c r="A431" s="1153" t="s">
        <v>1294</v>
      </c>
      <c r="B431" s="1153" t="s">
        <v>336</v>
      </c>
      <c r="C431" s="1153" t="s">
        <v>1968</v>
      </c>
      <c r="D431" s="1153" t="s">
        <v>312</v>
      </c>
      <c r="M431" s="1153" t="s">
        <v>2068</v>
      </c>
      <c r="N431" s="1153" t="s">
        <v>333</v>
      </c>
      <c r="Q431" s="1153" t="s">
        <v>2090</v>
      </c>
      <c r="R431" s="1153" t="s">
        <v>312</v>
      </c>
      <c r="S431" s="1153" t="s">
        <v>1303</v>
      </c>
      <c r="T431" s="1153" t="s">
        <v>332</v>
      </c>
    </row>
    <row r="432" spans="1:20" s="1153" customFormat="1" ht="15" hidden="1" customHeight="1">
      <c r="A432" s="1153" t="s">
        <v>1299</v>
      </c>
      <c r="B432" s="1153" t="s">
        <v>335</v>
      </c>
      <c r="C432" s="1153" t="s">
        <v>1969</v>
      </c>
      <c r="D432" s="1153" t="s">
        <v>312</v>
      </c>
      <c r="M432" s="1153" t="s">
        <v>2069</v>
      </c>
      <c r="N432" s="1153" t="s">
        <v>312</v>
      </c>
      <c r="Q432" s="1153" t="s">
        <v>2091</v>
      </c>
      <c r="R432" s="1153" t="s">
        <v>312</v>
      </c>
      <c r="S432" s="1153" t="s">
        <v>1308</v>
      </c>
      <c r="T432" s="1153" t="s">
        <v>333</v>
      </c>
    </row>
    <row r="433" spans="1:20" s="1153" customFormat="1" ht="15" hidden="1" customHeight="1">
      <c r="A433" s="1153" t="s">
        <v>1304</v>
      </c>
      <c r="B433" s="1153" t="s">
        <v>332</v>
      </c>
      <c r="C433" s="1153" t="s">
        <v>1970</v>
      </c>
      <c r="D433" s="1153" t="s">
        <v>312</v>
      </c>
      <c r="M433" s="1153" t="s">
        <v>2070</v>
      </c>
      <c r="N433" s="1153" t="s">
        <v>312</v>
      </c>
      <c r="Q433" s="1153" t="s">
        <v>2092</v>
      </c>
      <c r="R433" s="1153" t="s">
        <v>312</v>
      </c>
      <c r="S433" s="1153" t="s">
        <v>1313</v>
      </c>
      <c r="T433" s="1153" t="s">
        <v>333</v>
      </c>
    </row>
    <row r="434" spans="1:20" s="1153" customFormat="1" ht="15" hidden="1" customHeight="1">
      <c r="A434" s="1153" t="s">
        <v>1933</v>
      </c>
      <c r="B434" s="1153" t="s">
        <v>332</v>
      </c>
      <c r="C434" s="1153" t="s">
        <v>1971</v>
      </c>
      <c r="D434" s="1153" t="s">
        <v>312</v>
      </c>
      <c r="M434" s="1153" t="s">
        <v>2071</v>
      </c>
      <c r="N434" s="1153" t="s">
        <v>312</v>
      </c>
      <c r="Q434" s="1153" t="s">
        <v>2093</v>
      </c>
      <c r="R434" s="1153" t="s">
        <v>333</v>
      </c>
      <c r="S434" s="1153" t="s">
        <v>1318</v>
      </c>
      <c r="T434" s="1153" t="s">
        <v>332</v>
      </c>
    </row>
    <row r="435" spans="1:20" s="1153" customFormat="1" ht="15" hidden="1" customHeight="1">
      <c r="A435" s="1153" t="s">
        <v>1934</v>
      </c>
      <c r="B435" s="1153" t="s">
        <v>312</v>
      </c>
      <c r="C435" s="1153" t="s">
        <v>1972</v>
      </c>
      <c r="D435" s="1153" t="s">
        <v>332</v>
      </c>
      <c r="M435" s="1153" t="s">
        <v>2072</v>
      </c>
      <c r="N435" s="1153" t="s">
        <v>312</v>
      </c>
      <c r="Q435" s="1153" t="s">
        <v>2094</v>
      </c>
      <c r="R435" s="1153" t="s">
        <v>312</v>
      </c>
      <c r="S435" s="1153" t="s">
        <v>1323</v>
      </c>
      <c r="T435" s="1153" t="s">
        <v>332</v>
      </c>
    </row>
    <row r="436" spans="1:20" s="1153" customFormat="1" ht="15" hidden="1" customHeight="1">
      <c r="A436" s="1153" t="s">
        <v>1936</v>
      </c>
      <c r="B436" s="1153" t="s">
        <v>334</v>
      </c>
      <c r="C436" s="1153" t="s">
        <v>1973</v>
      </c>
      <c r="D436" s="1153" t="s">
        <v>332</v>
      </c>
      <c r="M436" s="1153" t="s">
        <v>2073</v>
      </c>
      <c r="N436" s="1153" t="s">
        <v>332</v>
      </c>
      <c r="Q436" s="1153" t="s">
        <v>2095</v>
      </c>
      <c r="R436" s="1153" t="s">
        <v>312</v>
      </c>
      <c r="S436" s="1153" t="s">
        <v>1328</v>
      </c>
      <c r="T436" s="1153" t="s">
        <v>332</v>
      </c>
    </row>
    <row r="437" spans="1:20" s="1153" customFormat="1" ht="15" hidden="1" customHeight="1">
      <c r="A437" s="1153" t="s">
        <v>1935</v>
      </c>
      <c r="B437" s="1153" t="s">
        <v>334</v>
      </c>
      <c r="C437" s="1153" t="s">
        <v>1974</v>
      </c>
      <c r="D437" s="1153" t="s">
        <v>312</v>
      </c>
      <c r="M437" s="1153" t="s">
        <v>1226</v>
      </c>
      <c r="N437" s="1153" t="s">
        <v>336</v>
      </c>
      <c r="Q437" s="1153" t="s">
        <v>2096</v>
      </c>
      <c r="R437" s="1153" t="s">
        <v>312</v>
      </c>
      <c r="S437" s="1153" t="s">
        <v>1333</v>
      </c>
      <c r="T437" s="1153" t="s">
        <v>333</v>
      </c>
    </row>
    <row r="438" spans="1:20" s="1153" customFormat="1" ht="15" hidden="1" customHeight="1">
      <c r="A438" s="1153" t="s">
        <v>1937</v>
      </c>
      <c r="B438" s="1153" t="s">
        <v>333</v>
      </c>
      <c r="C438" s="1153" t="s">
        <v>1975</v>
      </c>
      <c r="D438" s="1153" t="s">
        <v>334</v>
      </c>
      <c r="M438" s="1153" t="s">
        <v>1231</v>
      </c>
      <c r="N438" s="1153" t="s">
        <v>335</v>
      </c>
      <c r="Q438" s="1153" t="s">
        <v>2097</v>
      </c>
      <c r="R438" s="1153" t="s">
        <v>312</v>
      </c>
      <c r="S438" s="1153" t="s">
        <v>1338</v>
      </c>
      <c r="T438" s="1153" t="s">
        <v>333</v>
      </c>
    </row>
    <row r="439" spans="1:20" s="1153" customFormat="1" ht="15" hidden="1" customHeight="1">
      <c r="A439" s="1153" t="s">
        <v>1938</v>
      </c>
      <c r="B439" s="1153" t="s">
        <v>333</v>
      </c>
      <c r="C439" s="1153" t="s">
        <v>1976</v>
      </c>
      <c r="D439" s="1153" t="s">
        <v>312</v>
      </c>
      <c r="M439" s="1153" t="s">
        <v>1236</v>
      </c>
      <c r="N439" s="1153" t="s">
        <v>312</v>
      </c>
      <c r="Q439" s="1153" t="s">
        <v>2098</v>
      </c>
      <c r="R439" s="1153" t="s">
        <v>312</v>
      </c>
      <c r="S439" s="1153" t="s">
        <v>1343</v>
      </c>
      <c r="T439" s="1153" t="s">
        <v>334</v>
      </c>
    </row>
    <row r="440" spans="1:20" s="1153" customFormat="1" ht="15" hidden="1" customHeight="1">
      <c r="A440" s="1153" t="s">
        <v>1939</v>
      </c>
      <c r="B440" s="1153" t="s">
        <v>333</v>
      </c>
      <c r="C440" s="1153" t="s">
        <v>1977</v>
      </c>
      <c r="D440" s="1153" t="s">
        <v>312</v>
      </c>
      <c r="M440" s="1153" t="s">
        <v>1241</v>
      </c>
      <c r="N440" s="1153" t="s">
        <v>333</v>
      </c>
      <c r="Q440" s="1153" t="s">
        <v>2099</v>
      </c>
      <c r="R440" s="1153" t="s">
        <v>312</v>
      </c>
      <c r="S440" s="1153" t="s">
        <v>1348</v>
      </c>
      <c r="T440" s="1153" t="s">
        <v>332</v>
      </c>
    </row>
    <row r="441" spans="1:20" s="1153" customFormat="1" ht="15" hidden="1" customHeight="1">
      <c r="A441" s="1153" t="s">
        <v>1940</v>
      </c>
      <c r="B441" s="1153" t="s">
        <v>333</v>
      </c>
      <c r="C441" s="1153" t="s">
        <v>1978</v>
      </c>
      <c r="D441" s="1153" t="s">
        <v>333</v>
      </c>
      <c r="M441" s="1153" t="s">
        <v>1246</v>
      </c>
      <c r="N441" s="1153" t="s">
        <v>335</v>
      </c>
      <c r="Q441" s="1153" t="s">
        <v>2100</v>
      </c>
      <c r="R441" s="1153" t="s">
        <v>332</v>
      </c>
      <c r="S441" s="1153" t="s">
        <v>1353</v>
      </c>
      <c r="T441" s="1153" t="s">
        <v>332</v>
      </c>
    </row>
    <row r="442" spans="1:20" s="1153" customFormat="1" ht="15" hidden="1" customHeight="1">
      <c r="A442" s="1153" t="s">
        <v>1941</v>
      </c>
      <c r="B442" s="1153" t="s">
        <v>334</v>
      </c>
      <c r="C442" s="1153" t="s">
        <v>1979</v>
      </c>
      <c r="D442" s="1153" t="s">
        <v>312</v>
      </c>
      <c r="M442" s="1153" t="s">
        <v>1251</v>
      </c>
      <c r="N442" s="1153" t="s">
        <v>333</v>
      </c>
      <c r="Q442" s="1153" t="s">
        <v>2101</v>
      </c>
      <c r="R442" s="1153" t="s">
        <v>312</v>
      </c>
      <c r="S442" s="1153" t="s">
        <v>1358</v>
      </c>
      <c r="T442" s="1153" t="s">
        <v>334</v>
      </c>
    </row>
    <row r="443" spans="1:20" s="1153" customFormat="1" ht="15" hidden="1" customHeight="1">
      <c r="A443" s="1153" t="s">
        <v>1942</v>
      </c>
      <c r="B443" s="1153" t="s">
        <v>332</v>
      </c>
      <c r="C443" s="1153" t="s">
        <v>1980</v>
      </c>
      <c r="D443" s="1153" t="s">
        <v>312</v>
      </c>
      <c r="M443" s="1153" t="s">
        <v>1256</v>
      </c>
      <c r="N443" s="1153" t="s">
        <v>333</v>
      </c>
      <c r="Q443" s="1153" t="s">
        <v>2102</v>
      </c>
      <c r="R443" s="1153" t="s">
        <v>312</v>
      </c>
      <c r="S443" s="1153" t="s">
        <v>1363</v>
      </c>
      <c r="T443" s="1153" t="s">
        <v>333</v>
      </c>
    </row>
    <row r="444" spans="1:20" s="1153" customFormat="1" ht="15" hidden="1" customHeight="1">
      <c r="A444" s="1153" t="s">
        <v>1943</v>
      </c>
      <c r="B444" s="1153" t="s">
        <v>332</v>
      </c>
      <c r="C444" s="1153" t="s">
        <v>1981</v>
      </c>
      <c r="D444" s="1153" t="s">
        <v>335</v>
      </c>
      <c r="M444" s="1153" t="s">
        <v>1261</v>
      </c>
      <c r="N444" s="1153" t="s">
        <v>332</v>
      </c>
      <c r="Q444" s="1153" t="s">
        <v>2103</v>
      </c>
      <c r="R444" s="1153" t="s">
        <v>332</v>
      </c>
      <c r="S444" s="1153" t="s">
        <v>1368</v>
      </c>
      <c r="T444" s="1153" t="s">
        <v>332</v>
      </c>
    </row>
    <row r="445" spans="1:20" s="1153" customFormat="1" ht="15" hidden="1" customHeight="1">
      <c r="A445" s="1153" t="s">
        <v>1944</v>
      </c>
      <c r="B445" s="1153" t="s">
        <v>332</v>
      </c>
      <c r="C445" s="1153" t="s">
        <v>1982</v>
      </c>
      <c r="D445" s="1153" t="s">
        <v>312</v>
      </c>
      <c r="M445" s="1153" t="s">
        <v>1266</v>
      </c>
      <c r="N445" s="1153" t="s">
        <v>332</v>
      </c>
      <c r="Q445" s="1153" t="s">
        <v>2104</v>
      </c>
      <c r="R445" s="1153" t="s">
        <v>312</v>
      </c>
      <c r="S445" s="1153" t="s">
        <v>1373</v>
      </c>
      <c r="T445" s="1153" t="s">
        <v>332</v>
      </c>
    </row>
    <row r="446" spans="1:20" s="1153" customFormat="1" ht="15" hidden="1" customHeight="1">
      <c r="A446" s="1153" t="s">
        <v>1945</v>
      </c>
      <c r="B446" s="1153" t="s">
        <v>332</v>
      </c>
      <c r="C446" s="1153" t="s">
        <v>1983</v>
      </c>
      <c r="D446" s="1153" t="s">
        <v>312</v>
      </c>
      <c r="M446" s="1153" t="s">
        <v>1271</v>
      </c>
      <c r="N446" s="1153" t="s">
        <v>332</v>
      </c>
      <c r="Q446" s="1153" t="s">
        <v>2105</v>
      </c>
      <c r="R446" s="1153" t="s">
        <v>312</v>
      </c>
      <c r="S446" s="1153" t="s">
        <v>1378</v>
      </c>
      <c r="T446" s="1153" t="s">
        <v>333</v>
      </c>
    </row>
    <row r="447" spans="1:20" s="1153" customFormat="1" ht="15" hidden="1" customHeight="1">
      <c r="A447" s="1153" t="s">
        <v>1946</v>
      </c>
      <c r="B447" s="1153" t="s">
        <v>312</v>
      </c>
      <c r="C447" s="1153" t="s">
        <v>1984</v>
      </c>
      <c r="D447" s="1153" t="s">
        <v>312</v>
      </c>
      <c r="M447" s="1153" t="s">
        <v>1276</v>
      </c>
      <c r="N447" s="1153" t="s">
        <v>333</v>
      </c>
      <c r="Q447" s="1153" t="s">
        <v>2106</v>
      </c>
      <c r="R447" s="1153" t="s">
        <v>312</v>
      </c>
      <c r="S447" s="1153" t="s">
        <v>1383</v>
      </c>
      <c r="T447" s="1153" t="s">
        <v>332</v>
      </c>
    </row>
    <row r="448" spans="1:20" s="1153" customFormat="1" ht="15" hidden="1" customHeight="1">
      <c r="A448" s="1153" t="s">
        <v>1947</v>
      </c>
      <c r="B448" s="1153" t="s">
        <v>333</v>
      </c>
      <c r="C448" s="1153" t="s">
        <v>1985</v>
      </c>
      <c r="D448" s="1153" t="s">
        <v>312</v>
      </c>
      <c r="M448" s="1153" t="s">
        <v>1281</v>
      </c>
      <c r="N448" s="1153" t="s">
        <v>332</v>
      </c>
      <c r="Q448" s="1153" t="s">
        <v>2107</v>
      </c>
      <c r="R448" s="1153" t="s">
        <v>312</v>
      </c>
      <c r="S448" s="1153" t="s">
        <v>1388</v>
      </c>
      <c r="T448" s="1153" t="s">
        <v>333</v>
      </c>
    </row>
    <row r="449" spans="1:20" s="1153" customFormat="1" ht="15" hidden="1" customHeight="1">
      <c r="A449" s="1153" t="s">
        <v>1948</v>
      </c>
      <c r="B449" s="1153" t="s">
        <v>333</v>
      </c>
      <c r="C449" s="1153" t="s">
        <v>1986</v>
      </c>
      <c r="D449" s="1153" t="s">
        <v>336</v>
      </c>
      <c r="M449" s="1153" t="s">
        <v>1286</v>
      </c>
      <c r="N449" s="1153" t="s">
        <v>333</v>
      </c>
      <c r="Q449" s="1153" t="s">
        <v>2108</v>
      </c>
      <c r="R449" s="1153" t="s">
        <v>312</v>
      </c>
      <c r="S449" s="1153" t="s">
        <v>1393</v>
      </c>
      <c r="T449" s="1153" t="s">
        <v>332</v>
      </c>
    </row>
    <row r="450" spans="1:20" s="1153" customFormat="1" ht="15" hidden="1" customHeight="1">
      <c r="A450" s="1153" t="s">
        <v>1949</v>
      </c>
      <c r="B450" s="1153" t="s">
        <v>333</v>
      </c>
      <c r="C450" s="1153" t="s">
        <v>1987</v>
      </c>
      <c r="D450" s="1153" t="s">
        <v>312</v>
      </c>
      <c r="M450" s="1153" t="s">
        <v>1291</v>
      </c>
      <c r="N450" s="1153" t="s">
        <v>335</v>
      </c>
      <c r="Q450" s="1153" t="s">
        <v>2109</v>
      </c>
      <c r="R450" s="1153" t="s">
        <v>312</v>
      </c>
      <c r="S450" s="1153" t="s">
        <v>1398</v>
      </c>
      <c r="T450" s="1153" t="s">
        <v>332</v>
      </c>
    </row>
    <row r="451" spans="1:20" s="1153" customFormat="1" ht="15" hidden="1" customHeight="1">
      <c r="A451" s="1153" t="s">
        <v>1950</v>
      </c>
      <c r="B451" s="1153" t="s">
        <v>334</v>
      </c>
      <c r="C451" s="1153" t="s">
        <v>1988</v>
      </c>
      <c r="D451" s="1153" t="s">
        <v>334</v>
      </c>
      <c r="M451" s="1153" t="s">
        <v>1296</v>
      </c>
      <c r="N451" s="1153" t="s">
        <v>335</v>
      </c>
      <c r="Q451" s="1153" t="s">
        <v>1222</v>
      </c>
      <c r="R451" s="1153" t="s">
        <v>312</v>
      </c>
      <c r="S451" s="1153" t="s">
        <v>1403</v>
      </c>
      <c r="T451" s="1153" t="s">
        <v>335</v>
      </c>
    </row>
    <row r="452" spans="1:20" s="1153" customFormat="1" ht="15" hidden="1" customHeight="1">
      <c r="A452" s="1153" t="s">
        <v>1951</v>
      </c>
      <c r="B452" s="1153" t="s">
        <v>312</v>
      </c>
      <c r="C452" s="1153" t="s">
        <v>1989</v>
      </c>
      <c r="D452" s="1153" t="s">
        <v>333</v>
      </c>
      <c r="M452" s="1153" t="s">
        <v>1301</v>
      </c>
      <c r="N452" s="1153" t="s">
        <v>312</v>
      </c>
      <c r="Q452" s="1153" t="s">
        <v>1227</v>
      </c>
      <c r="R452" s="1153" t="s">
        <v>334</v>
      </c>
      <c r="S452" s="1153" t="s">
        <v>1408</v>
      </c>
      <c r="T452" s="1153" t="s">
        <v>312</v>
      </c>
    </row>
    <row r="453" spans="1:20" s="1153" customFormat="1" ht="15" hidden="1" customHeight="1">
      <c r="A453" s="1153" t="s">
        <v>1952</v>
      </c>
      <c r="B453" s="1153" t="s">
        <v>312</v>
      </c>
      <c r="C453" s="1153" t="s">
        <v>1990</v>
      </c>
      <c r="D453" s="1153" t="s">
        <v>312</v>
      </c>
      <c r="M453" s="1153" t="s">
        <v>1306</v>
      </c>
      <c r="N453" s="1153" t="s">
        <v>334</v>
      </c>
      <c r="Q453" s="1153" t="s">
        <v>1232</v>
      </c>
      <c r="R453" s="1153" t="s">
        <v>312</v>
      </c>
      <c r="S453" s="1153" t="s">
        <v>1428</v>
      </c>
      <c r="T453" s="1153" t="s">
        <v>333</v>
      </c>
    </row>
    <row r="454" spans="1:20" s="1153" customFormat="1" ht="15" hidden="1" customHeight="1">
      <c r="A454" s="1153" t="s">
        <v>1953</v>
      </c>
      <c r="B454" s="1153" t="s">
        <v>332</v>
      </c>
      <c r="C454" s="1153" t="s">
        <v>1991</v>
      </c>
      <c r="D454" s="1153" t="s">
        <v>334</v>
      </c>
      <c r="M454" s="1153" t="s">
        <v>1311</v>
      </c>
      <c r="N454" s="1153" t="s">
        <v>335</v>
      </c>
      <c r="Q454" s="1153" t="s">
        <v>1237</v>
      </c>
      <c r="R454" s="1153" t="s">
        <v>332</v>
      </c>
      <c r="S454" s="1153" t="s">
        <v>1433</v>
      </c>
      <c r="T454" s="1153" t="s">
        <v>312</v>
      </c>
    </row>
    <row r="455" spans="1:20" s="1153" customFormat="1" ht="15" hidden="1" customHeight="1">
      <c r="A455" s="1153" t="s">
        <v>1954</v>
      </c>
      <c r="B455" s="1153" t="s">
        <v>332</v>
      </c>
      <c r="C455" s="1153" t="s">
        <v>1992</v>
      </c>
      <c r="D455" s="1153" t="s">
        <v>312</v>
      </c>
      <c r="M455" s="1153" t="s">
        <v>1316</v>
      </c>
      <c r="N455" s="1153" t="s">
        <v>335</v>
      </c>
      <c r="Q455" s="1153" t="s">
        <v>1242</v>
      </c>
      <c r="R455" s="1153" t="s">
        <v>334</v>
      </c>
      <c r="S455" s="1153" t="s">
        <v>1413</v>
      </c>
      <c r="T455" s="1153" t="s">
        <v>312</v>
      </c>
    </row>
    <row r="456" spans="1:20" s="1153" customFormat="1" ht="15" hidden="1" customHeight="1">
      <c r="A456" s="1153" t="s">
        <v>1955</v>
      </c>
      <c r="B456" s="1153" t="s">
        <v>332</v>
      </c>
      <c r="C456" s="1153" t="s">
        <v>1994</v>
      </c>
      <c r="D456" s="1153" t="s">
        <v>335</v>
      </c>
      <c r="M456" s="1153" t="s">
        <v>1321</v>
      </c>
      <c r="N456" s="1153" t="s">
        <v>335</v>
      </c>
      <c r="Q456" s="1153" t="s">
        <v>1247</v>
      </c>
      <c r="R456" s="1153" t="s">
        <v>332</v>
      </c>
      <c r="S456" s="1153" t="s">
        <v>1418</v>
      </c>
      <c r="T456" s="1153" t="s">
        <v>312</v>
      </c>
    </row>
    <row r="457" spans="1:20" s="1153" customFormat="1" ht="15" hidden="1" customHeight="1">
      <c r="A457" s="1153" t="s">
        <v>1956</v>
      </c>
      <c r="B457" s="1153" t="s">
        <v>332</v>
      </c>
      <c r="C457" s="1153" t="s">
        <v>1993</v>
      </c>
      <c r="D457" s="1153" t="s">
        <v>333</v>
      </c>
      <c r="M457" s="1153" t="s">
        <v>1326</v>
      </c>
      <c r="N457" s="1153" t="s">
        <v>334</v>
      </c>
      <c r="Q457" s="1153" t="s">
        <v>1252</v>
      </c>
      <c r="R457" s="1153" t="s">
        <v>332</v>
      </c>
      <c r="S457" s="1153" t="s">
        <v>1423</v>
      </c>
      <c r="T457" s="1153" t="s">
        <v>312</v>
      </c>
    </row>
    <row r="458" spans="1:20" s="1153" customFormat="1" ht="15" hidden="1" customHeight="1">
      <c r="A458" s="1153" t="s">
        <v>1957</v>
      </c>
      <c r="B458" s="1153" t="s">
        <v>333</v>
      </c>
      <c r="C458" s="1153" t="s">
        <v>1995</v>
      </c>
      <c r="D458" s="1153" t="s">
        <v>335</v>
      </c>
      <c r="M458" s="1153" t="s">
        <v>1331</v>
      </c>
      <c r="N458" s="1153" t="s">
        <v>334</v>
      </c>
      <c r="Q458" s="1153" t="s">
        <v>1257</v>
      </c>
      <c r="R458" s="1153" t="s">
        <v>332</v>
      </c>
      <c r="S458" s="1153" t="s">
        <v>1438</v>
      </c>
      <c r="T458" s="1153" t="s">
        <v>332</v>
      </c>
    </row>
    <row r="459" spans="1:20" s="1153" customFormat="1" ht="15" hidden="1" customHeight="1">
      <c r="A459" s="1153" t="s">
        <v>1958</v>
      </c>
      <c r="B459" s="1153" t="s">
        <v>332</v>
      </c>
      <c r="C459" s="1153" t="s">
        <v>1996</v>
      </c>
      <c r="D459" s="1153" t="s">
        <v>312</v>
      </c>
      <c r="M459" s="1153" t="s">
        <v>1336</v>
      </c>
      <c r="N459" s="1153" t="s">
        <v>334</v>
      </c>
      <c r="Q459" s="1153" t="s">
        <v>1262</v>
      </c>
      <c r="R459" s="1153" t="s">
        <v>333</v>
      </c>
      <c r="S459" s="1153" t="s">
        <v>1443</v>
      </c>
      <c r="T459" s="1153" t="s">
        <v>333</v>
      </c>
    </row>
    <row r="460" spans="1:20" s="1153" customFormat="1" ht="15" hidden="1" customHeight="1">
      <c r="A460" s="1153" t="s">
        <v>1959</v>
      </c>
      <c r="B460" s="1153" t="s">
        <v>333</v>
      </c>
      <c r="C460" s="1153" t="s">
        <v>1997</v>
      </c>
      <c r="D460" s="1153" t="s">
        <v>312</v>
      </c>
      <c r="M460" s="1153" t="s">
        <v>1341</v>
      </c>
      <c r="N460" s="1153" t="s">
        <v>312</v>
      </c>
      <c r="Q460" s="1153" t="s">
        <v>1267</v>
      </c>
      <c r="R460" s="1153" t="s">
        <v>332</v>
      </c>
      <c r="S460" s="1153" t="s">
        <v>1448</v>
      </c>
      <c r="T460" s="1153" t="s">
        <v>312</v>
      </c>
    </row>
    <row r="461" spans="1:20" s="1153" customFormat="1" ht="15" hidden="1" customHeight="1">
      <c r="A461" s="1153" t="s">
        <v>1960</v>
      </c>
      <c r="B461" s="1153" t="s">
        <v>312</v>
      </c>
      <c r="C461" s="1153" t="s">
        <v>1998</v>
      </c>
      <c r="D461" s="1153" t="s">
        <v>312</v>
      </c>
      <c r="M461" s="1153" t="s">
        <v>1346</v>
      </c>
      <c r="N461" s="1153" t="s">
        <v>336</v>
      </c>
      <c r="Q461" s="1153" t="s">
        <v>1272</v>
      </c>
      <c r="R461" s="1153" t="s">
        <v>333</v>
      </c>
      <c r="S461" s="1153" t="s">
        <v>1453</v>
      </c>
      <c r="T461" s="1153" t="s">
        <v>333</v>
      </c>
    </row>
    <row r="462" spans="1:20" s="1153" customFormat="1" ht="15" hidden="1" customHeight="1">
      <c r="A462" s="1153" t="s">
        <v>1961</v>
      </c>
      <c r="B462" s="1153" t="s">
        <v>312</v>
      </c>
      <c r="C462" s="1153" t="s">
        <v>1999</v>
      </c>
      <c r="D462" s="1153" t="s">
        <v>312</v>
      </c>
      <c r="M462" s="1153" t="s">
        <v>1351</v>
      </c>
      <c r="N462" s="1153" t="s">
        <v>312</v>
      </c>
      <c r="Q462" s="1153" t="s">
        <v>1277</v>
      </c>
      <c r="R462" s="1153" t="s">
        <v>312</v>
      </c>
      <c r="S462" s="1153" t="s">
        <v>1458</v>
      </c>
      <c r="T462" s="1153" t="s">
        <v>335</v>
      </c>
    </row>
    <row r="463" spans="1:20" s="1153" customFormat="1" ht="15" hidden="1" customHeight="1">
      <c r="A463" s="1153" t="s">
        <v>1962</v>
      </c>
      <c r="B463" s="1153" t="s">
        <v>332</v>
      </c>
      <c r="C463" s="1153" t="s">
        <v>2000</v>
      </c>
      <c r="D463" s="1153" t="s">
        <v>312</v>
      </c>
      <c r="M463" s="1153" t="s">
        <v>1356</v>
      </c>
      <c r="N463" s="1153" t="s">
        <v>333</v>
      </c>
      <c r="Q463" s="1153" t="s">
        <v>1282</v>
      </c>
      <c r="R463" s="1153" t="s">
        <v>332</v>
      </c>
      <c r="S463" s="1153" t="s">
        <v>1463</v>
      </c>
      <c r="T463" s="1153" t="s">
        <v>332</v>
      </c>
    </row>
    <row r="464" spans="1:20" s="1153" customFormat="1" ht="15" hidden="1" customHeight="1">
      <c r="A464" s="1153" t="s">
        <v>1963</v>
      </c>
      <c r="B464" s="1153" t="s">
        <v>312</v>
      </c>
      <c r="C464" s="1153" t="s">
        <v>2001</v>
      </c>
      <c r="D464" s="1153" t="s">
        <v>312</v>
      </c>
      <c r="M464" s="1153" t="s">
        <v>1361</v>
      </c>
      <c r="N464" s="1153" t="s">
        <v>335</v>
      </c>
      <c r="Q464" s="1153" t="s">
        <v>1287</v>
      </c>
      <c r="R464" s="1153" t="s">
        <v>312</v>
      </c>
      <c r="S464" s="1153" t="s">
        <v>1468</v>
      </c>
      <c r="T464" s="1153" t="s">
        <v>333</v>
      </c>
    </row>
    <row r="465" spans="1:20" s="1153" customFormat="1" ht="15" hidden="1" customHeight="1">
      <c r="A465" s="1153" t="s">
        <v>1964</v>
      </c>
      <c r="B465" s="1153" t="s">
        <v>334</v>
      </c>
      <c r="C465" s="1153" t="s">
        <v>2002</v>
      </c>
      <c r="D465" s="1153" t="s">
        <v>312</v>
      </c>
      <c r="M465" s="1153" t="s">
        <v>1366</v>
      </c>
      <c r="N465" s="1153" t="s">
        <v>333</v>
      </c>
      <c r="Q465" s="1153" t="s">
        <v>1292</v>
      </c>
      <c r="R465" s="1153" t="s">
        <v>332</v>
      </c>
      <c r="S465" s="1153" t="s">
        <v>1473</v>
      </c>
      <c r="T465" s="1153" t="s">
        <v>332</v>
      </c>
    </row>
    <row r="466" spans="1:20" s="1153" customFormat="1" ht="15" hidden="1" customHeight="1">
      <c r="A466" s="1153" t="s">
        <v>1965</v>
      </c>
      <c r="B466" s="1153" t="s">
        <v>332</v>
      </c>
      <c r="C466" s="1153" t="s">
        <v>2003</v>
      </c>
      <c r="D466" s="1153" t="s">
        <v>333</v>
      </c>
      <c r="M466" s="1153" t="s">
        <v>1371</v>
      </c>
      <c r="N466" s="1153" t="s">
        <v>335</v>
      </c>
      <c r="Q466" s="1153" t="s">
        <v>1297</v>
      </c>
      <c r="R466" s="1153" t="s">
        <v>335</v>
      </c>
      <c r="S466" s="1153" t="s">
        <v>1478</v>
      </c>
      <c r="T466" s="1153" t="s">
        <v>333</v>
      </c>
    </row>
    <row r="467" spans="1:20" s="1153" customFormat="1" ht="15" hidden="1" customHeight="1">
      <c r="A467" s="1153" t="s">
        <v>1966</v>
      </c>
      <c r="B467" s="1153" t="s">
        <v>332</v>
      </c>
      <c r="C467" s="1153" t="s">
        <v>2004</v>
      </c>
      <c r="D467" s="1153" t="s">
        <v>312</v>
      </c>
      <c r="M467" s="1153" t="s">
        <v>1376</v>
      </c>
      <c r="N467" s="1153" t="s">
        <v>335</v>
      </c>
      <c r="Q467" s="1153" t="s">
        <v>1302</v>
      </c>
      <c r="R467" s="1153" t="s">
        <v>312</v>
      </c>
      <c r="S467" s="1153" t="s">
        <v>1483</v>
      </c>
      <c r="T467" s="1153" t="s">
        <v>333</v>
      </c>
    </row>
    <row r="468" spans="1:20" s="1153" customFormat="1" ht="15" hidden="1" customHeight="1">
      <c r="A468" s="1153" t="s">
        <v>1967</v>
      </c>
      <c r="B468" s="1153" t="s">
        <v>312</v>
      </c>
      <c r="C468" s="1153" t="s">
        <v>2005</v>
      </c>
      <c r="D468" s="1153" t="s">
        <v>312</v>
      </c>
      <c r="M468" s="1153" t="s">
        <v>1381</v>
      </c>
      <c r="N468" s="1153" t="s">
        <v>336</v>
      </c>
      <c r="Q468" s="1153" t="s">
        <v>1307</v>
      </c>
      <c r="R468" s="1153" t="s">
        <v>312</v>
      </c>
      <c r="S468" s="1153" t="s">
        <v>1488</v>
      </c>
      <c r="T468" s="1153" t="s">
        <v>333</v>
      </c>
    </row>
    <row r="469" spans="1:20" s="1153" customFormat="1" ht="15" hidden="1" customHeight="1">
      <c r="A469" s="1153" t="s">
        <v>1309</v>
      </c>
      <c r="B469" s="1153" t="s">
        <v>332</v>
      </c>
      <c r="C469" s="1153" t="s">
        <v>2006</v>
      </c>
      <c r="D469" s="1153" t="s">
        <v>312</v>
      </c>
      <c r="M469" s="1153" t="s">
        <v>1386</v>
      </c>
      <c r="N469" s="1153" t="s">
        <v>335</v>
      </c>
      <c r="Q469" s="1153" t="s">
        <v>1312</v>
      </c>
      <c r="R469" s="1153" t="s">
        <v>312</v>
      </c>
      <c r="S469" s="1153" t="s">
        <v>1493</v>
      </c>
      <c r="T469" s="1153" t="s">
        <v>335</v>
      </c>
    </row>
    <row r="470" spans="1:20" s="1153" customFormat="1" ht="15" hidden="1" customHeight="1">
      <c r="A470" s="1153" t="s">
        <v>1314</v>
      </c>
      <c r="B470" s="1153" t="s">
        <v>334</v>
      </c>
      <c r="C470" s="1153" t="s">
        <v>2007</v>
      </c>
      <c r="D470" s="1153" t="s">
        <v>312</v>
      </c>
      <c r="M470" s="1153" t="s">
        <v>1391</v>
      </c>
      <c r="N470" s="1153" t="s">
        <v>336</v>
      </c>
      <c r="Q470" s="1153" t="s">
        <v>1317</v>
      </c>
      <c r="R470" s="1153" t="s">
        <v>332</v>
      </c>
      <c r="S470" s="1153" t="s">
        <v>1498</v>
      </c>
      <c r="T470" s="1153" t="s">
        <v>332</v>
      </c>
    </row>
    <row r="471" spans="1:20" s="1153" customFormat="1" ht="15" hidden="1" customHeight="1">
      <c r="A471" s="1153" t="s">
        <v>1319</v>
      </c>
      <c r="B471" s="1153" t="s">
        <v>333</v>
      </c>
      <c r="C471" s="1153" t="s">
        <v>2008</v>
      </c>
      <c r="D471" s="1153" t="s">
        <v>334</v>
      </c>
      <c r="M471" s="1153" t="s">
        <v>1396</v>
      </c>
      <c r="N471" s="1153" t="s">
        <v>332</v>
      </c>
      <c r="Q471" s="1153" t="s">
        <v>1322</v>
      </c>
      <c r="R471" s="1153" t="s">
        <v>335</v>
      </c>
      <c r="S471" s="1153" t="s">
        <v>1503</v>
      </c>
      <c r="T471" s="1153" t="s">
        <v>332</v>
      </c>
    </row>
    <row r="472" spans="1:20" s="1153" customFormat="1" ht="15" hidden="1" customHeight="1">
      <c r="A472" s="1153" t="s">
        <v>1324</v>
      </c>
      <c r="B472" s="1153" t="s">
        <v>332</v>
      </c>
      <c r="C472" s="1153" t="s">
        <v>2009</v>
      </c>
      <c r="D472" s="1153" t="s">
        <v>332</v>
      </c>
      <c r="M472" s="1153" t="s">
        <v>1401</v>
      </c>
      <c r="N472" s="1153" t="s">
        <v>335</v>
      </c>
      <c r="Q472" s="1153" t="s">
        <v>1327</v>
      </c>
      <c r="R472" s="1153" t="s">
        <v>332</v>
      </c>
      <c r="S472" s="1153" t="s">
        <v>1508</v>
      </c>
      <c r="T472" s="1153" t="s">
        <v>312</v>
      </c>
    </row>
    <row r="473" spans="1:20" s="1153" customFormat="1" ht="15" hidden="1" customHeight="1">
      <c r="A473" s="1153" t="s">
        <v>1329</v>
      </c>
      <c r="B473" s="1153" t="s">
        <v>333</v>
      </c>
      <c r="C473" s="1153" t="s">
        <v>2010</v>
      </c>
      <c r="D473" s="1153" t="s">
        <v>332</v>
      </c>
      <c r="M473" s="1153" t="s">
        <v>1406</v>
      </c>
      <c r="N473" s="1153" t="s">
        <v>332</v>
      </c>
      <c r="Q473" s="1153" t="s">
        <v>1332</v>
      </c>
      <c r="R473" s="1153" t="s">
        <v>332</v>
      </c>
      <c r="S473" s="1153" t="s">
        <v>1513</v>
      </c>
      <c r="T473" s="1153" t="s">
        <v>333</v>
      </c>
    </row>
    <row r="474" spans="1:20" s="1153" customFormat="1" ht="15" hidden="1" customHeight="1">
      <c r="A474" s="1153" t="s">
        <v>1334</v>
      </c>
      <c r="B474" s="1153" t="s">
        <v>312</v>
      </c>
      <c r="C474" s="1153" t="s">
        <v>2011</v>
      </c>
      <c r="D474" s="1153" t="s">
        <v>336</v>
      </c>
      <c r="M474" s="1153" t="s">
        <v>1411</v>
      </c>
      <c r="N474" s="1153" t="s">
        <v>335</v>
      </c>
      <c r="Q474" s="1153" t="s">
        <v>1337</v>
      </c>
      <c r="R474" s="1153" t="s">
        <v>332</v>
      </c>
      <c r="S474" s="1153" t="s">
        <v>1518</v>
      </c>
      <c r="T474" s="1153" t="s">
        <v>333</v>
      </c>
    </row>
    <row r="475" spans="1:20" s="1153" customFormat="1" ht="15" hidden="1" customHeight="1">
      <c r="A475" s="1153" t="s">
        <v>1339</v>
      </c>
      <c r="B475" s="1153" t="s">
        <v>333</v>
      </c>
      <c r="C475" s="1153" t="s">
        <v>2012</v>
      </c>
      <c r="D475" s="1153" t="s">
        <v>312</v>
      </c>
      <c r="M475" s="1153" t="s">
        <v>1416</v>
      </c>
      <c r="N475" s="1153" t="s">
        <v>334</v>
      </c>
      <c r="Q475" s="1153" t="s">
        <v>1342</v>
      </c>
      <c r="R475" s="1153" t="s">
        <v>332</v>
      </c>
      <c r="S475" s="1153" t="s">
        <v>1523</v>
      </c>
      <c r="T475" s="1153" t="s">
        <v>333</v>
      </c>
    </row>
    <row r="476" spans="1:20" s="1153" customFormat="1" ht="15" hidden="1" customHeight="1">
      <c r="A476" s="1153" t="s">
        <v>1344</v>
      </c>
      <c r="B476" s="1153" t="s">
        <v>333</v>
      </c>
      <c r="C476" s="1153" t="s">
        <v>2013</v>
      </c>
      <c r="D476" s="1153" t="s">
        <v>312</v>
      </c>
      <c r="M476" s="1153" t="s">
        <v>1421</v>
      </c>
      <c r="N476" s="1153" t="s">
        <v>333</v>
      </c>
      <c r="Q476" s="1153" t="s">
        <v>1347</v>
      </c>
      <c r="R476" s="1153" t="s">
        <v>332</v>
      </c>
      <c r="S476" s="1153" t="s">
        <v>1528</v>
      </c>
      <c r="T476" s="1153" t="s">
        <v>333</v>
      </c>
    </row>
    <row r="477" spans="1:20" s="1153" customFormat="1" ht="15" hidden="1" customHeight="1">
      <c r="A477" s="1153" t="s">
        <v>1349</v>
      </c>
      <c r="B477" s="1153" t="s">
        <v>335</v>
      </c>
      <c r="C477" s="1153" t="s">
        <v>2014</v>
      </c>
      <c r="D477" s="1153" t="s">
        <v>312</v>
      </c>
      <c r="M477" s="1153" t="s">
        <v>1426</v>
      </c>
      <c r="N477" s="1153" t="s">
        <v>334</v>
      </c>
      <c r="Q477" s="1153" t="s">
        <v>1352</v>
      </c>
      <c r="R477" s="1153" t="s">
        <v>332</v>
      </c>
      <c r="S477" s="1153" t="s">
        <v>1533</v>
      </c>
      <c r="T477" s="1153" t="s">
        <v>334</v>
      </c>
    </row>
    <row r="478" spans="1:20" s="1153" customFormat="1" ht="15" hidden="1" customHeight="1">
      <c r="A478" s="1153" t="s">
        <v>1354</v>
      </c>
      <c r="B478" s="1153" t="s">
        <v>336</v>
      </c>
      <c r="C478" s="1153" t="s">
        <v>2015</v>
      </c>
      <c r="D478" s="1153" t="s">
        <v>312</v>
      </c>
      <c r="M478" s="1153" t="s">
        <v>1431</v>
      </c>
      <c r="N478" s="1153" t="s">
        <v>334</v>
      </c>
      <c r="Q478" s="1153" t="s">
        <v>1357</v>
      </c>
      <c r="R478" s="1153" t="s">
        <v>332</v>
      </c>
      <c r="S478" s="1153" t="s">
        <v>1538</v>
      </c>
      <c r="T478" s="1153" t="s">
        <v>332</v>
      </c>
    </row>
    <row r="479" spans="1:20" s="1153" customFormat="1" ht="15" hidden="1" customHeight="1">
      <c r="A479" s="1153" t="s">
        <v>1359</v>
      </c>
      <c r="B479" s="1153" t="s">
        <v>334</v>
      </c>
      <c r="C479" s="1153" t="s">
        <v>2016</v>
      </c>
      <c r="D479" s="1153" t="s">
        <v>332</v>
      </c>
      <c r="M479" s="1153" t="s">
        <v>1441</v>
      </c>
      <c r="N479" s="1153" t="s">
        <v>335</v>
      </c>
      <c r="Q479" s="1153" t="s">
        <v>1362</v>
      </c>
      <c r="R479" s="1153" t="s">
        <v>334</v>
      </c>
      <c r="S479" s="1153" t="s">
        <v>1543</v>
      </c>
      <c r="T479" s="1153" t="s">
        <v>333</v>
      </c>
    </row>
    <row r="480" spans="1:20" s="1153" customFormat="1" ht="15" hidden="1" customHeight="1">
      <c r="A480" s="1153" t="s">
        <v>1364</v>
      </c>
      <c r="B480" s="1153" t="s">
        <v>336</v>
      </c>
      <c r="C480" s="1153" t="s">
        <v>2017</v>
      </c>
      <c r="D480" s="1153" t="s">
        <v>332</v>
      </c>
      <c r="M480" s="1153" t="s">
        <v>1436</v>
      </c>
      <c r="N480" s="1153" t="s">
        <v>335</v>
      </c>
      <c r="Q480" s="1153" t="s">
        <v>1367</v>
      </c>
      <c r="R480" s="1153" t="s">
        <v>333</v>
      </c>
      <c r="S480" s="1153" t="s">
        <v>1548</v>
      </c>
      <c r="T480" s="1153" t="s">
        <v>312</v>
      </c>
    </row>
    <row r="481" spans="1:20" s="1153" customFormat="1" ht="15" hidden="1" customHeight="1">
      <c r="A481" s="1153" t="s">
        <v>1369</v>
      </c>
      <c r="B481" s="1153" t="s">
        <v>334</v>
      </c>
      <c r="C481" s="1153" t="s">
        <v>2018</v>
      </c>
      <c r="D481" s="1153" t="s">
        <v>332</v>
      </c>
      <c r="M481" s="1153" t="s">
        <v>1446</v>
      </c>
      <c r="N481" s="1153" t="s">
        <v>334</v>
      </c>
      <c r="Q481" s="1153" t="s">
        <v>1372</v>
      </c>
      <c r="R481" s="1153" t="s">
        <v>332</v>
      </c>
      <c r="S481" s="1153" t="s">
        <v>1553</v>
      </c>
      <c r="T481" s="1153" t="s">
        <v>332</v>
      </c>
    </row>
    <row r="482" spans="1:20" s="1153" customFormat="1" ht="15" hidden="1" customHeight="1">
      <c r="A482" s="1153" t="s">
        <v>1374</v>
      </c>
      <c r="B482" s="1153" t="s">
        <v>332</v>
      </c>
      <c r="C482" s="1153" t="s">
        <v>2019</v>
      </c>
      <c r="D482" s="1153" t="s">
        <v>332</v>
      </c>
      <c r="M482" s="1153" t="s">
        <v>1451</v>
      </c>
      <c r="N482" s="1153" t="s">
        <v>334</v>
      </c>
      <c r="Q482" s="1153" t="s">
        <v>1377</v>
      </c>
      <c r="R482" s="1153" t="s">
        <v>312</v>
      </c>
      <c r="S482" s="1153" t="s">
        <v>1558</v>
      </c>
      <c r="T482" s="1153" t="s">
        <v>333</v>
      </c>
    </row>
    <row r="483" spans="1:20" s="1153" customFormat="1" ht="15" hidden="1" customHeight="1">
      <c r="A483" s="1153" t="s">
        <v>1379</v>
      </c>
      <c r="B483" s="1153" t="s">
        <v>333</v>
      </c>
      <c r="C483" s="1153" t="s">
        <v>2020</v>
      </c>
      <c r="D483" s="1153" t="s">
        <v>312</v>
      </c>
      <c r="M483" s="1153" t="s">
        <v>1456</v>
      </c>
      <c r="N483" s="1153" t="s">
        <v>312</v>
      </c>
      <c r="Q483" s="1153" t="s">
        <v>1382</v>
      </c>
      <c r="R483" s="1153" t="s">
        <v>312</v>
      </c>
      <c r="S483" s="1153" t="s">
        <v>1563</v>
      </c>
      <c r="T483" s="1153" t="s">
        <v>336</v>
      </c>
    </row>
    <row r="484" spans="1:20" s="1153" customFormat="1" ht="15" hidden="1" customHeight="1">
      <c r="A484" s="1153" t="s">
        <v>1384</v>
      </c>
      <c r="B484" s="1153" t="s">
        <v>333</v>
      </c>
      <c r="C484" s="1153" t="s">
        <v>2021</v>
      </c>
      <c r="D484" s="1153" t="s">
        <v>333</v>
      </c>
      <c r="M484" s="1153" t="s">
        <v>1461</v>
      </c>
      <c r="N484" s="1153" t="s">
        <v>336</v>
      </c>
      <c r="Q484" s="1153" t="s">
        <v>1387</v>
      </c>
      <c r="R484" s="1153" t="s">
        <v>332</v>
      </c>
      <c r="S484" s="1153" t="s">
        <v>1568</v>
      </c>
      <c r="T484" s="1153" t="s">
        <v>334</v>
      </c>
    </row>
    <row r="485" spans="1:20" s="1153" customFormat="1" ht="15" hidden="1" customHeight="1">
      <c r="A485" s="1153" t="s">
        <v>1389</v>
      </c>
      <c r="B485" s="1153" t="s">
        <v>334</v>
      </c>
      <c r="C485" s="1153" t="s">
        <v>2022</v>
      </c>
      <c r="D485" s="1153" t="s">
        <v>312</v>
      </c>
      <c r="M485" s="1153" t="s">
        <v>1466</v>
      </c>
      <c r="N485" s="1153" t="s">
        <v>332</v>
      </c>
      <c r="Q485" s="1153" t="s">
        <v>1392</v>
      </c>
      <c r="R485" s="1153" t="s">
        <v>333</v>
      </c>
      <c r="S485" s="1153" t="s">
        <v>1573</v>
      </c>
      <c r="T485" s="1153" t="s">
        <v>333</v>
      </c>
    </row>
    <row r="486" spans="1:20" s="1153" customFormat="1" ht="15" hidden="1" customHeight="1">
      <c r="A486" s="1153" t="s">
        <v>1394</v>
      </c>
      <c r="B486" s="1153" t="s">
        <v>335</v>
      </c>
      <c r="C486" s="1153" t="s">
        <v>2023</v>
      </c>
      <c r="D486" s="1153" t="s">
        <v>332</v>
      </c>
      <c r="M486" s="1153" t="s">
        <v>1471</v>
      </c>
      <c r="N486" s="1153" t="s">
        <v>334</v>
      </c>
      <c r="Q486" s="1153" t="s">
        <v>1397</v>
      </c>
      <c r="R486" s="1153" t="s">
        <v>312</v>
      </c>
      <c r="S486" s="1153" t="s">
        <v>1578</v>
      </c>
      <c r="T486" s="1153" t="s">
        <v>332</v>
      </c>
    </row>
    <row r="487" spans="1:20" s="1153" customFormat="1" ht="15" hidden="1" customHeight="1">
      <c r="A487" s="1153" t="s">
        <v>1399</v>
      </c>
      <c r="B487" s="1153" t="s">
        <v>333</v>
      </c>
      <c r="C487" s="1153" t="s">
        <v>2024</v>
      </c>
      <c r="D487" s="1153" t="s">
        <v>312</v>
      </c>
      <c r="M487" s="1153" t="s">
        <v>1476</v>
      </c>
      <c r="N487" s="1153" t="s">
        <v>312</v>
      </c>
      <c r="Q487" s="1153" t="s">
        <v>1402</v>
      </c>
      <c r="R487" s="1153" t="s">
        <v>333</v>
      </c>
      <c r="S487" s="1153" t="s">
        <v>1583</v>
      </c>
      <c r="T487" s="1153" t="s">
        <v>334</v>
      </c>
    </row>
    <row r="488" spans="1:20" s="1153" customFormat="1" ht="15" hidden="1" customHeight="1">
      <c r="A488" s="1153" t="s">
        <v>1404</v>
      </c>
      <c r="B488" s="1153" t="s">
        <v>335</v>
      </c>
      <c r="C488" s="1153" t="s">
        <v>2025</v>
      </c>
      <c r="D488" s="1153" t="s">
        <v>334</v>
      </c>
      <c r="M488" s="1153" t="s">
        <v>1481</v>
      </c>
      <c r="N488" s="1153" t="s">
        <v>335</v>
      </c>
      <c r="Q488" s="1153" t="s">
        <v>1407</v>
      </c>
      <c r="R488" s="1153" t="s">
        <v>333</v>
      </c>
      <c r="S488" s="1153" t="s">
        <v>2110</v>
      </c>
      <c r="T488" s="1153" t="s">
        <v>332</v>
      </c>
    </row>
    <row r="489" spans="1:20" s="1153" customFormat="1" ht="15" hidden="1" customHeight="1">
      <c r="A489" s="1153" t="s">
        <v>1409</v>
      </c>
      <c r="B489" s="1153" t="s">
        <v>334</v>
      </c>
      <c r="C489" s="1153" t="s">
        <v>2026</v>
      </c>
      <c r="D489" s="1153" t="s">
        <v>332</v>
      </c>
      <c r="M489" s="1153" t="s">
        <v>1486</v>
      </c>
      <c r="N489" s="1153" t="s">
        <v>312</v>
      </c>
      <c r="Q489" s="1153" t="s">
        <v>1412</v>
      </c>
      <c r="R489" s="1153" t="s">
        <v>312</v>
      </c>
      <c r="S489" s="1153" t="s">
        <v>2111</v>
      </c>
      <c r="T489" s="1153" t="s">
        <v>332</v>
      </c>
    </row>
    <row r="490" spans="1:20" s="1153" customFormat="1" ht="15" hidden="1" customHeight="1">
      <c r="A490" s="1153" t="s">
        <v>1414</v>
      </c>
      <c r="B490" s="1153" t="s">
        <v>334</v>
      </c>
      <c r="C490" s="1153" t="s">
        <v>2027</v>
      </c>
      <c r="D490" s="1153" t="s">
        <v>312</v>
      </c>
      <c r="M490" s="1153" t="s">
        <v>1491</v>
      </c>
      <c r="N490" s="1153" t="s">
        <v>335</v>
      </c>
      <c r="Q490" s="1153" t="s">
        <v>1417</v>
      </c>
      <c r="R490" s="1153" t="s">
        <v>332</v>
      </c>
      <c r="S490" s="1153" t="s">
        <v>2112</v>
      </c>
      <c r="T490" s="1153" t="s">
        <v>332</v>
      </c>
    </row>
    <row r="491" spans="1:20" s="1153" customFormat="1" ht="15" hidden="1" customHeight="1">
      <c r="A491" s="1153" t="s">
        <v>1419</v>
      </c>
      <c r="B491" s="1153" t="s">
        <v>335</v>
      </c>
      <c r="C491" s="1153" t="s">
        <v>2028</v>
      </c>
      <c r="D491" s="1153" t="s">
        <v>312</v>
      </c>
      <c r="M491" s="1153" t="s">
        <v>1496</v>
      </c>
      <c r="N491" s="1153" t="s">
        <v>334</v>
      </c>
      <c r="Q491" s="1153" t="s">
        <v>1422</v>
      </c>
      <c r="R491" s="1153" t="s">
        <v>312</v>
      </c>
      <c r="S491" s="1153" t="s">
        <v>2113</v>
      </c>
      <c r="T491" s="1153" t="s">
        <v>333</v>
      </c>
    </row>
    <row r="492" spans="1:20" s="1153" customFormat="1" ht="15" hidden="1" customHeight="1">
      <c r="A492" s="1153" t="s">
        <v>1424</v>
      </c>
      <c r="B492" s="1153" t="s">
        <v>334</v>
      </c>
      <c r="C492" s="1153" t="s">
        <v>2029</v>
      </c>
      <c r="D492" s="1153" t="s">
        <v>312</v>
      </c>
      <c r="M492" s="1153" t="s">
        <v>1501</v>
      </c>
      <c r="N492" s="1153" t="s">
        <v>332</v>
      </c>
      <c r="Q492" s="1153" t="s">
        <v>1427</v>
      </c>
      <c r="R492" s="1153" t="s">
        <v>312</v>
      </c>
      <c r="S492" s="1153" t="s">
        <v>2114</v>
      </c>
      <c r="T492" s="1153" t="s">
        <v>312</v>
      </c>
    </row>
    <row r="493" spans="1:20" s="1153" customFormat="1" ht="15" hidden="1" customHeight="1">
      <c r="A493" s="1153" t="s">
        <v>1429</v>
      </c>
      <c r="B493" s="1153" t="s">
        <v>333</v>
      </c>
      <c r="C493" s="1153" t="s">
        <v>2030</v>
      </c>
      <c r="D493" s="1153" t="s">
        <v>336</v>
      </c>
      <c r="M493" s="1153" t="s">
        <v>1506</v>
      </c>
      <c r="N493" s="1153" t="s">
        <v>332</v>
      </c>
      <c r="Q493" s="1153" t="s">
        <v>1432</v>
      </c>
      <c r="R493" s="1153" t="s">
        <v>312</v>
      </c>
      <c r="S493" s="1153" t="s">
        <v>2115</v>
      </c>
      <c r="T493" s="1153" t="s">
        <v>332</v>
      </c>
    </row>
    <row r="494" spans="1:20" s="1153" customFormat="1" ht="15" hidden="1" customHeight="1">
      <c r="A494" s="1153" t="s">
        <v>1434</v>
      </c>
      <c r="B494" s="1153" t="s">
        <v>335</v>
      </c>
      <c r="C494" s="1153" t="s">
        <v>2031</v>
      </c>
      <c r="D494" s="1153" t="s">
        <v>312</v>
      </c>
      <c r="M494" s="1153" t="s">
        <v>1511</v>
      </c>
      <c r="N494" s="1153" t="s">
        <v>332</v>
      </c>
      <c r="Q494" s="1153" t="s">
        <v>1437</v>
      </c>
      <c r="R494" s="1153" t="s">
        <v>332</v>
      </c>
      <c r="S494" s="1153" t="s">
        <v>2116</v>
      </c>
      <c r="T494" s="1153" t="s">
        <v>332</v>
      </c>
    </row>
    <row r="495" spans="1:20" s="1153" customFormat="1" ht="15" hidden="1" customHeight="1">
      <c r="A495" s="1153" t="s">
        <v>1444</v>
      </c>
      <c r="B495" s="1153" t="s">
        <v>333</v>
      </c>
      <c r="C495" s="1153" t="s">
        <v>2032</v>
      </c>
      <c r="D495" s="1153" t="s">
        <v>312</v>
      </c>
      <c r="M495" s="1153" t="s">
        <v>1516</v>
      </c>
      <c r="N495" s="1153" t="s">
        <v>335</v>
      </c>
      <c r="Q495" s="1153" t="s">
        <v>1442</v>
      </c>
      <c r="R495" s="1153" t="s">
        <v>334</v>
      </c>
      <c r="S495" s="1153" t="s">
        <v>2117</v>
      </c>
      <c r="T495" s="1153" t="s">
        <v>312</v>
      </c>
    </row>
    <row r="496" spans="1:20" s="1153" customFormat="1" ht="15" hidden="1" customHeight="1">
      <c r="A496" s="1153" t="s">
        <v>1439</v>
      </c>
      <c r="B496" s="1153" t="s">
        <v>334</v>
      </c>
      <c r="C496" s="1153" t="s">
        <v>2033</v>
      </c>
      <c r="D496" s="1153" t="s">
        <v>332</v>
      </c>
      <c r="M496" s="1153" t="s">
        <v>1521</v>
      </c>
      <c r="N496" s="1153" t="s">
        <v>334</v>
      </c>
      <c r="Q496" s="1153" t="s">
        <v>1447</v>
      </c>
      <c r="R496" s="1153" t="s">
        <v>333</v>
      </c>
      <c r="S496" s="1153" t="s">
        <v>2118</v>
      </c>
      <c r="T496" s="1153" t="s">
        <v>312</v>
      </c>
    </row>
    <row r="497" spans="1:20" s="1153" customFormat="1" ht="15" hidden="1" customHeight="1">
      <c r="A497" s="1153" t="s">
        <v>1449</v>
      </c>
      <c r="B497" s="1153" t="s">
        <v>333</v>
      </c>
      <c r="C497" s="1153" t="s">
        <v>2034</v>
      </c>
      <c r="D497" s="1153" t="s">
        <v>312</v>
      </c>
      <c r="M497" s="1153" t="s">
        <v>1526</v>
      </c>
      <c r="N497" s="1153" t="s">
        <v>335</v>
      </c>
      <c r="Q497" s="1153" t="s">
        <v>1452</v>
      </c>
      <c r="R497" s="1153" t="s">
        <v>334</v>
      </c>
      <c r="S497" s="1153" t="s">
        <v>2119</v>
      </c>
      <c r="T497" s="1153" t="s">
        <v>312</v>
      </c>
    </row>
    <row r="498" spans="1:20" s="1153" customFormat="1" ht="15" hidden="1" customHeight="1">
      <c r="A498" s="1153" t="s">
        <v>1454</v>
      </c>
      <c r="B498" s="1153" t="s">
        <v>334</v>
      </c>
      <c r="C498" s="1153" t="s">
        <v>2035</v>
      </c>
      <c r="D498" s="1153" t="s">
        <v>333</v>
      </c>
      <c r="M498" s="1153" t="s">
        <v>1531</v>
      </c>
      <c r="N498" s="1153" t="s">
        <v>334</v>
      </c>
      <c r="Q498" s="1153" t="s">
        <v>1457</v>
      </c>
      <c r="R498" s="1153" t="s">
        <v>333</v>
      </c>
      <c r="S498" s="1153" t="s">
        <v>2120</v>
      </c>
      <c r="T498" s="1153" t="s">
        <v>332</v>
      </c>
    </row>
    <row r="499" spans="1:20" s="1153" customFormat="1" ht="15" hidden="1" customHeight="1">
      <c r="A499" s="1153" t="s">
        <v>1459</v>
      </c>
      <c r="B499" s="1153" t="s">
        <v>332</v>
      </c>
      <c r="C499" s="1153" t="s">
        <v>2036</v>
      </c>
      <c r="D499" s="1153" t="s">
        <v>312</v>
      </c>
      <c r="M499" s="1153" t="s">
        <v>1536</v>
      </c>
      <c r="N499" s="1153" t="s">
        <v>332</v>
      </c>
      <c r="Q499" s="1153" t="s">
        <v>1462</v>
      </c>
      <c r="R499" s="1153" t="s">
        <v>333</v>
      </c>
      <c r="S499" s="1153" t="s">
        <v>2121</v>
      </c>
      <c r="T499" s="1153" t="s">
        <v>312</v>
      </c>
    </row>
    <row r="500" spans="1:20" s="1153" customFormat="1" ht="15" hidden="1" customHeight="1">
      <c r="A500" s="1153" t="s">
        <v>1464</v>
      </c>
      <c r="B500" s="1153" t="s">
        <v>332</v>
      </c>
      <c r="C500" s="1153" t="s">
        <v>2038</v>
      </c>
      <c r="D500" s="1153" t="s">
        <v>312</v>
      </c>
      <c r="M500" s="1153" t="s">
        <v>1541</v>
      </c>
      <c r="N500" s="1153" t="s">
        <v>334</v>
      </c>
      <c r="Q500" s="1153" t="s">
        <v>1467</v>
      </c>
      <c r="R500" s="1153" t="s">
        <v>333</v>
      </c>
      <c r="S500" s="1153" t="s">
        <v>2122</v>
      </c>
      <c r="T500" s="1153" t="s">
        <v>332</v>
      </c>
    </row>
    <row r="501" spans="1:20" s="1153" customFormat="1" ht="15" hidden="1" customHeight="1">
      <c r="A501" s="1153" t="s">
        <v>1469</v>
      </c>
      <c r="B501" s="1153" t="s">
        <v>334</v>
      </c>
      <c r="C501" s="1153" t="s">
        <v>2037</v>
      </c>
      <c r="D501" s="1153" t="s">
        <v>332</v>
      </c>
      <c r="M501" s="1153" t="s">
        <v>1546</v>
      </c>
      <c r="N501" s="1153" t="s">
        <v>333</v>
      </c>
      <c r="Q501" s="1153" t="s">
        <v>1472</v>
      </c>
      <c r="R501" s="1153" t="s">
        <v>312</v>
      </c>
      <c r="S501" s="1153" t="s">
        <v>2123</v>
      </c>
      <c r="T501" s="1153" t="s">
        <v>312</v>
      </c>
    </row>
    <row r="502" spans="1:20" s="1153" customFormat="1" ht="15" hidden="1" customHeight="1">
      <c r="A502" s="1153" t="s">
        <v>1474</v>
      </c>
      <c r="B502" s="1153" t="s">
        <v>335</v>
      </c>
      <c r="C502" s="1153" t="s">
        <v>1300</v>
      </c>
      <c r="D502" s="1153" t="s">
        <v>312</v>
      </c>
      <c r="M502" s="1153" t="s">
        <v>1551</v>
      </c>
      <c r="N502" s="1153" t="s">
        <v>332</v>
      </c>
      <c r="Q502" s="1153" t="s">
        <v>1477</v>
      </c>
      <c r="R502" s="1153" t="s">
        <v>312</v>
      </c>
      <c r="S502" s="1153" t="s">
        <v>2124</v>
      </c>
      <c r="T502" s="1153" t="s">
        <v>332</v>
      </c>
    </row>
    <row r="503" spans="1:20" s="1153" customFormat="1" ht="15" hidden="1" customHeight="1">
      <c r="A503" s="1153" t="s">
        <v>1479</v>
      </c>
      <c r="B503" s="1153" t="s">
        <v>334</v>
      </c>
      <c r="C503" s="1153" t="s">
        <v>1305</v>
      </c>
      <c r="D503" s="1153" t="s">
        <v>332</v>
      </c>
      <c r="M503" s="1153" t="s">
        <v>1556</v>
      </c>
      <c r="N503" s="1153" t="s">
        <v>332</v>
      </c>
      <c r="Q503" s="1153" t="s">
        <v>1482</v>
      </c>
      <c r="R503" s="1153" t="s">
        <v>312</v>
      </c>
      <c r="S503" s="1153" t="s">
        <v>2125</v>
      </c>
      <c r="T503" s="1153" t="s">
        <v>332</v>
      </c>
    </row>
    <row r="504" spans="1:20" s="1153" customFormat="1" ht="15" hidden="1" customHeight="1">
      <c r="A504" s="1153" t="s">
        <v>1484</v>
      </c>
      <c r="B504" s="1153" t="s">
        <v>334</v>
      </c>
      <c r="C504" s="1153" t="s">
        <v>1310</v>
      </c>
      <c r="D504" s="1153" t="s">
        <v>312</v>
      </c>
      <c r="M504" s="1153" t="s">
        <v>1561</v>
      </c>
      <c r="N504" s="1153" t="s">
        <v>335</v>
      </c>
      <c r="Q504" s="1153" t="s">
        <v>1487</v>
      </c>
      <c r="R504" s="1153" t="s">
        <v>332</v>
      </c>
      <c r="S504" s="1153" t="s">
        <v>2126</v>
      </c>
      <c r="T504" s="1153" t="s">
        <v>312</v>
      </c>
    </row>
    <row r="505" spans="1:20" s="1153" customFormat="1" ht="15" hidden="1" customHeight="1">
      <c r="A505" s="1153" t="s">
        <v>1489</v>
      </c>
      <c r="B505" s="1153" t="s">
        <v>334</v>
      </c>
      <c r="C505" s="1153" t="s">
        <v>1315</v>
      </c>
      <c r="D505" s="1153" t="s">
        <v>312</v>
      </c>
      <c r="M505" s="1153" t="s">
        <v>1566</v>
      </c>
      <c r="N505" s="1153" t="s">
        <v>333</v>
      </c>
      <c r="Q505" s="1153" t="s">
        <v>1492</v>
      </c>
      <c r="R505" s="1153" t="s">
        <v>332</v>
      </c>
      <c r="S505" s="1153" t="s">
        <v>2127</v>
      </c>
      <c r="T505" s="1153" t="s">
        <v>332</v>
      </c>
    </row>
    <row r="506" spans="1:20" s="1153" customFormat="1" ht="15" hidden="1" customHeight="1">
      <c r="A506" s="1153" t="s">
        <v>1494</v>
      </c>
      <c r="B506" s="1153" t="s">
        <v>334</v>
      </c>
      <c r="C506" s="1153" t="s">
        <v>1320</v>
      </c>
      <c r="D506" s="1153" t="s">
        <v>334</v>
      </c>
      <c r="M506" s="1153" t="s">
        <v>1571</v>
      </c>
      <c r="N506" s="1153" t="s">
        <v>333</v>
      </c>
      <c r="Q506" s="1153" t="s">
        <v>1497</v>
      </c>
      <c r="R506" s="1153" t="s">
        <v>312</v>
      </c>
      <c r="S506" s="1153" t="s">
        <v>2128</v>
      </c>
      <c r="T506" s="1153" t="s">
        <v>332</v>
      </c>
    </row>
    <row r="507" spans="1:20" s="1153" customFormat="1" ht="15" hidden="1" customHeight="1">
      <c r="A507" s="1153" t="s">
        <v>1499</v>
      </c>
      <c r="B507" s="1153" t="s">
        <v>334</v>
      </c>
      <c r="C507" s="1153" t="s">
        <v>1325</v>
      </c>
      <c r="D507" s="1153" t="s">
        <v>333</v>
      </c>
      <c r="M507" s="1153" t="s">
        <v>1576</v>
      </c>
      <c r="N507" s="1153" t="s">
        <v>336</v>
      </c>
      <c r="Q507" s="1153" t="s">
        <v>1502</v>
      </c>
      <c r="R507" s="1153" t="s">
        <v>312</v>
      </c>
      <c r="S507" s="1153" t="s">
        <v>1588</v>
      </c>
      <c r="T507" s="1153" t="s">
        <v>332</v>
      </c>
    </row>
    <row r="508" spans="1:20" s="1153" customFormat="1" ht="15" hidden="1" customHeight="1">
      <c r="A508" s="1153" t="s">
        <v>1504</v>
      </c>
      <c r="B508" s="1153" t="s">
        <v>335</v>
      </c>
      <c r="C508" s="1153" t="s">
        <v>1330</v>
      </c>
      <c r="D508" s="1153" t="s">
        <v>332</v>
      </c>
      <c r="M508" s="1153" t="s">
        <v>1581</v>
      </c>
      <c r="N508" s="1153" t="s">
        <v>312</v>
      </c>
      <c r="Q508" s="1153" t="s">
        <v>1507</v>
      </c>
      <c r="R508" s="1153" t="s">
        <v>312</v>
      </c>
      <c r="S508" s="1153" t="s">
        <v>1592</v>
      </c>
      <c r="T508" s="1153" t="s">
        <v>332</v>
      </c>
    </row>
    <row r="509" spans="1:20" s="1153" customFormat="1" ht="15" hidden="1" customHeight="1">
      <c r="A509" s="1153" t="s">
        <v>1509</v>
      </c>
      <c r="B509" s="1153" t="s">
        <v>332</v>
      </c>
      <c r="C509" s="1153" t="s">
        <v>1335</v>
      </c>
      <c r="D509" s="1153" t="s">
        <v>333</v>
      </c>
      <c r="M509" s="1153" t="s">
        <v>1586</v>
      </c>
      <c r="N509" s="1153" t="s">
        <v>312</v>
      </c>
      <c r="Q509" s="1153" t="s">
        <v>1512</v>
      </c>
      <c r="R509" s="1153" t="s">
        <v>332</v>
      </c>
      <c r="S509" s="1153" t="s">
        <v>1596</v>
      </c>
      <c r="T509" s="1153" t="s">
        <v>334</v>
      </c>
    </row>
    <row r="510" spans="1:20" s="1153" customFormat="1" ht="15" hidden="1" customHeight="1">
      <c r="A510" s="1153" t="s">
        <v>1514</v>
      </c>
      <c r="B510" s="1153" t="s">
        <v>332</v>
      </c>
      <c r="C510" s="1153" t="s">
        <v>1340</v>
      </c>
      <c r="D510" s="1153" t="s">
        <v>334</v>
      </c>
      <c r="Q510" s="1153" t="s">
        <v>1517</v>
      </c>
      <c r="R510" s="1153" t="s">
        <v>333</v>
      </c>
      <c r="S510" s="1153" t="s">
        <v>1600</v>
      </c>
      <c r="T510" s="1153" t="s">
        <v>332</v>
      </c>
    </row>
    <row r="511" spans="1:20" s="1153" customFormat="1" ht="15" hidden="1" customHeight="1">
      <c r="A511" s="1153" t="s">
        <v>1519</v>
      </c>
      <c r="B511" s="1153" t="s">
        <v>332</v>
      </c>
      <c r="C511" s="1153" t="s">
        <v>1345</v>
      </c>
      <c r="D511" s="1153" t="s">
        <v>312</v>
      </c>
      <c r="Q511" s="1153" t="s">
        <v>1522</v>
      </c>
      <c r="R511" s="1153" t="s">
        <v>312</v>
      </c>
      <c r="S511" s="1153" t="s">
        <v>1604</v>
      </c>
      <c r="T511" s="1153" t="s">
        <v>334</v>
      </c>
    </row>
    <row r="512" spans="1:20" s="1153" customFormat="1" ht="15" hidden="1" customHeight="1">
      <c r="A512" s="1153" t="s">
        <v>1524</v>
      </c>
      <c r="B512" s="1153" t="s">
        <v>333</v>
      </c>
      <c r="C512" s="1153" t="s">
        <v>1350</v>
      </c>
      <c r="D512" s="1153" t="s">
        <v>312</v>
      </c>
      <c r="Q512" s="1153" t="s">
        <v>1527</v>
      </c>
      <c r="R512" s="1153" t="s">
        <v>335</v>
      </c>
      <c r="S512" s="1153" t="s">
        <v>1608</v>
      </c>
      <c r="T512" s="1153" t="s">
        <v>332</v>
      </c>
    </row>
    <row r="513" spans="1:20" s="1153" customFormat="1" ht="15" hidden="1" customHeight="1">
      <c r="A513" s="1153" t="s">
        <v>1539</v>
      </c>
      <c r="B513" s="1153" t="s">
        <v>333</v>
      </c>
      <c r="C513" s="1153" t="s">
        <v>1355</v>
      </c>
      <c r="D513" s="1153" t="s">
        <v>334</v>
      </c>
      <c r="Q513" s="1153" t="s">
        <v>1532</v>
      </c>
      <c r="R513" s="1153" t="s">
        <v>334</v>
      </c>
      <c r="S513" s="1153" t="s">
        <v>1612</v>
      </c>
      <c r="T513" s="1153" t="s">
        <v>334</v>
      </c>
    </row>
    <row r="514" spans="1:20" s="1153" customFormat="1" ht="15" hidden="1" customHeight="1">
      <c r="A514" s="1153" t="s">
        <v>1544</v>
      </c>
      <c r="B514" s="1153" t="s">
        <v>334</v>
      </c>
      <c r="C514" s="1153" t="s">
        <v>1360</v>
      </c>
      <c r="D514" s="1153" t="s">
        <v>333</v>
      </c>
      <c r="Q514" s="1153" t="s">
        <v>1537</v>
      </c>
      <c r="R514" s="1153" t="s">
        <v>333</v>
      </c>
      <c r="S514" s="1153" t="s">
        <v>1616</v>
      </c>
      <c r="T514" s="1153" t="s">
        <v>332</v>
      </c>
    </row>
    <row r="515" spans="1:20" s="1153" customFormat="1" ht="15" hidden="1" customHeight="1">
      <c r="A515" s="1153" t="s">
        <v>1529</v>
      </c>
      <c r="B515" s="1153" t="s">
        <v>334</v>
      </c>
      <c r="C515" s="1153" t="s">
        <v>1365</v>
      </c>
      <c r="D515" s="1153" t="s">
        <v>332</v>
      </c>
      <c r="Q515" s="1153" t="s">
        <v>1542</v>
      </c>
      <c r="R515" s="1153" t="s">
        <v>332</v>
      </c>
      <c r="S515" s="1153" t="s">
        <v>1620</v>
      </c>
      <c r="T515" s="1153" t="s">
        <v>332</v>
      </c>
    </row>
    <row r="516" spans="1:20" s="1153" customFormat="1" ht="15" hidden="1" customHeight="1">
      <c r="A516" s="1153" t="s">
        <v>1549</v>
      </c>
      <c r="B516" s="1153" t="s">
        <v>335</v>
      </c>
      <c r="C516" s="1153" t="s">
        <v>1370</v>
      </c>
      <c r="D516" s="1153" t="s">
        <v>332</v>
      </c>
      <c r="Q516" s="1153" t="s">
        <v>1547</v>
      </c>
      <c r="R516" s="1153" t="s">
        <v>334</v>
      </c>
      <c r="S516" s="1153" t="s">
        <v>1624</v>
      </c>
      <c r="T516" s="1153" t="s">
        <v>332</v>
      </c>
    </row>
    <row r="517" spans="1:20" s="1153" customFormat="1" ht="15" hidden="1" customHeight="1">
      <c r="A517" s="1153" t="s">
        <v>1534</v>
      </c>
      <c r="B517" s="1153" t="s">
        <v>332</v>
      </c>
      <c r="C517" s="1153" t="s">
        <v>1375</v>
      </c>
      <c r="D517" s="1153" t="s">
        <v>336</v>
      </c>
      <c r="Q517" s="1153" t="s">
        <v>1552</v>
      </c>
      <c r="R517" s="1153" t="s">
        <v>332</v>
      </c>
      <c r="S517" s="1153" t="s">
        <v>1628</v>
      </c>
      <c r="T517" s="1153" t="s">
        <v>332</v>
      </c>
    </row>
    <row r="518" spans="1:20" s="1153" customFormat="1" ht="15" hidden="1" customHeight="1">
      <c r="A518" s="1153" t="s">
        <v>1554</v>
      </c>
      <c r="B518" s="1153" t="s">
        <v>333</v>
      </c>
      <c r="C518" s="1153" t="s">
        <v>1380</v>
      </c>
      <c r="D518" s="1153" t="s">
        <v>333</v>
      </c>
      <c r="Q518" s="1153" t="s">
        <v>1557</v>
      </c>
      <c r="R518" s="1153" t="s">
        <v>335</v>
      </c>
      <c r="S518" s="1153" t="s">
        <v>1632</v>
      </c>
      <c r="T518" s="1153" t="s">
        <v>334</v>
      </c>
    </row>
    <row r="519" spans="1:20" s="1153" customFormat="1" ht="15" hidden="1" customHeight="1">
      <c r="A519" s="1153" t="s">
        <v>1559</v>
      </c>
      <c r="B519" s="1153" t="s">
        <v>334</v>
      </c>
      <c r="C519" s="1153" t="s">
        <v>1385</v>
      </c>
      <c r="D519" s="1153" t="s">
        <v>336</v>
      </c>
      <c r="Q519" s="1153" t="s">
        <v>1562</v>
      </c>
      <c r="R519" s="1153" t="s">
        <v>333</v>
      </c>
      <c r="S519" s="1153" t="s">
        <v>1636</v>
      </c>
      <c r="T519" s="1153" t="s">
        <v>312</v>
      </c>
    </row>
    <row r="520" spans="1:20" s="1153" customFormat="1" ht="15" hidden="1" customHeight="1">
      <c r="A520" s="1153" t="s">
        <v>1564</v>
      </c>
      <c r="B520" s="1153" t="s">
        <v>332</v>
      </c>
      <c r="C520" s="1153" t="s">
        <v>1390</v>
      </c>
      <c r="D520" s="1153" t="s">
        <v>332</v>
      </c>
      <c r="Q520" s="1153" t="s">
        <v>1567</v>
      </c>
      <c r="R520" s="1153" t="s">
        <v>312</v>
      </c>
      <c r="S520" s="1153" t="s">
        <v>1640</v>
      </c>
      <c r="T520" s="1153" t="s">
        <v>333</v>
      </c>
    </row>
    <row r="521" spans="1:20" s="1153" customFormat="1" ht="15" hidden="1" customHeight="1">
      <c r="A521" s="1153" t="s">
        <v>1569</v>
      </c>
      <c r="B521" s="1153" t="s">
        <v>334</v>
      </c>
      <c r="C521" s="1153" t="s">
        <v>1395</v>
      </c>
      <c r="D521" s="1153" t="s">
        <v>332</v>
      </c>
      <c r="Q521" s="1153" t="s">
        <v>1572</v>
      </c>
      <c r="R521" s="1153" t="s">
        <v>332</v>
      </c>
      <c r="S521" s="1153" t="s">
        <v>1644</v>
      </c>
      <c r="T521" s="1153" t="s">
        <v>312</v>
      </c>
    </row>
    <row r="522" spans="1:20" s="1153" customFormat="1" ht="15" hidden="1" customHeight="1">
      <c r="A522" s="1153" t="s">
        <v>1574</v>
      </c>
      <c r="B522" s="1153" t="s">
        <v>333</v>
      </c>
      <c r="C522" s="1153" t="s">
        <v>1400</v>
      </c>
      <c r="D522" s="1153" t="s">
        <v>312</v>
      </c>
      <c r="Q522" s="1153" t="s">
        <v>1577</v>
      </c>
      <c r="R522" s="1153" t="s">
        <v>332</v>
      </c>
      <c r="S522" s="1153" t="s">
        <v>1648</v>
      </c>
      <c r="T522" s="1153" t="s">
        <v>332</v>
      </c>
    </row>
    <row r="523" spans="1:20" s="1153" customFormat="1" ht="15" hidden="1" customHeight="1">
      <c r="A523" s="1153" t="s">
        <v>1579</v>
      </c>
      <c r="B523" s="1153" t="s">
        <v>333</v>
      </c>
      <c r="C523" s="1153" t="s">
        <v>1405</v>
      </c>
      <c r="D523" s="1153" t="s">
        <v>332</v>
      </c>
      <c r="Q523" s="1153" t="s">
        <v>1582</v>
      </c>
      <c r="R523" s="1153" t="s">
        <v>334</v>
      </c>
      <c r="S523" s="1153" t="s">
        <v>1652</v>
      </c>
      <c r="T523" s="1153" t="s">
        <v>332</v>
      </c>
    </row>
    <row r="524" spans="1:20" s="1153" customFormat="1" ht="15" hidden="1" customHeight="1">
      <c r="A524" s="1153" t="s">
        <v>1584</v>
      </c>
      <c r="B524" s="1153" t="s">
        <v>335</v>
      </c>
      <c r="C524" s="1153" t="s">
        <v>1410</v>
      </c>
      <c r="D524" s="1153" t="s">
        <v>332</v>
      </c>
      <c r="Q524" s="1153" t="s">
        <v>1587</v>
      </c>
      <c r="R524" s="1153" t="s">
        <v>312</v>
      </c>
      <c r="S524" s="1153" t="s">
        <v>1660</v>
      </c>
      <c r="T524" s="1153" t="s">
        <v>334</v>
      </c>
    </row>
    <row r="525" spans="1:20" s="1153" customFormat="1" ht="15" hidden="1" customHeight="1">
      <c r="A525" s="1153" t="s">
        <v>1589</v>
      </c>
      <c r="B525" s="1153" t="s">
        <v>334</v>
      </c>
      <c r="C525" s="1153" t="s">
        <v>1415</v>
      </c>
      <c r="D525" s="1153" t="s">
        <v>332</v>
      </c>
      <c r="Q525" s="1153" t="s">
        <v>1591</v>
      </c>
      <c r="R525" s="1153" t="s">
        <v>332</v>
      </c>
      <c r="S525" s="1153" t="s">
        <v>1656</v>
      </c>
      <c r="T525" s="1153" t="s">
        <v>332</v>
      </c>
    </row>
    <row r="526" spans="1:20" s="1153" customFormat="1" ht="15" hidden="1" customHeight="1">
      <c r="A526" s="1153" t="s">
        <v>1593</v>
      </c>
      <c r="B526" s="1153" t="s">
        <v>333</v>
      </c>
      <c r="C526" s="1153" t="s">
        <v>1420</v>
      </c>
      <c r="D526" s="1153" t="s">
        <v>334</v>
      </c>
      <c r="Q526" s="1153" t="s">
        <v>1595</v>
      </c>
      <c r="R526" s="1153" t="s">
        <v>332</v>
      </c>
      <c r="S526" s="1153" t="s">
        <v>1664</v>
      </c>
      <c r="T526" s="1153" t="s">
        <v>332</v>
      </c>
    </row>
    <row r="527" spans="1:20" s="1153" customFormat="1" ht="15" hidden="1" customHeight="1">
      <c r="A527" s="1153" t="s">
        <v>1597</v>
      </c>
      <c r="B527" s="1153" t="s">
        <v>335</v>
      </c>
      <c r="C527" s="1153" t="s">
        <v>1425</v>
      </c>
      <c r="D527" s="1153" t="s">
        <v>335</v>
      </c>
      <c r="Q527" s="1153" t="s">
        <v>1599</v>
      </c>
      <c r="R527" s="1153" t="s">
        <v>312</v>
      </c>
      <c r="S527" s="1153" t="s">
        <v>1668</v>
      </c>
      <c r="T527" s="1153" t="s">
        <v>332</v>
      </c>
    </row>
    <row r="528" spans="1:20" s="1153" customFormat="1" ht="15" hidden="1" customHeight="1">
      <c r="A528" s="1153" t="s">
        <v>1601</v>
      </c>
      <c r="B528" s="1153" t="s">
        <v>333</v>
      </c>
      <c r="C528" s="1153" t="s">
        <v>1430</v>
      </c>
      <c r="D528" s="1153" t="s">
        <v>332</v>
      </c>
      <c r="Q528" s="1153" t="s">
        <v>1603</v>
      </c>
      <c r="R528" s="1153" t="s">
        <v>312</v>
      </c>
      <c r="S528" s="1153" t="s">
        <v>1672</v>
      </c>
      <c r="T528" s="1153" t="s">
        <v>333</v>
      </c>
    </row>
    <row r="529" spans="1:20" s="1153" customFormat="1" ht="15" hidden="1" customHeight="1">
      <c r="A529" s="1153" t="s">
        <v>1605</v>
      </c>
      <c r="B529" s="1153" t="s">
        <v>335</v>
      </c>
      <c r="C529" s="1153" t="s">
        <v>1435</v>
      </c>
      <c r="D529" s="1153" t="s">
        <v>312</v>
      </c>
      <c r="Q529" s="1153" t="s">
        <v>1607</v>
      </c>
      <c r="R529" s="1153" t="s">
        <v>312</v>
      </c>
      <c r="S529" s="1153" t="s">
        <v>1676</v>
      </c>
      <c r="T529" s="1153" t="s">
        <v>332</v>
      </c>
    </row>
    <row r="530" spans="1:20" s="1153" customFormat="1" ht="15" hidden="1" customHeight="1">
      <c r="A530" s="1153" t="s">
        <v>1609</v>
      </c>
      <c r="B530" s="1153" t="s">
        <v>334</v>
      </c>
      <c r="C530" s="1153" t="s">
        <v>1440</v>
      </c>
      <c r="D530" s="1153" t="s">
        <v>335</v>
      </c>
      <c r="Q530" s="1153" t="s">
        <v>1611</v>
      </c>
      <c r="R530" s="1153" t="s">
        <v>333</v>
      </c>
      <c r="S530" s="1153" t="s">
        <v>1679</v>
      </c>
      <c r="T530" s="1153" t="s">
        <v>333</v>
      </c>
    </row>
    <row r="531" spans="1:20" s="1153" customFormat="1" ht="15" hidden="1" customHeight="1">
      <c r="A531" s="1153" t="s">
        <v>1613</v>
      </c>
      <c r="B531" s="1153" t="s">
        <v>335</v>
      </c>
      <c r="C531" s="1153" t="s">
        <v>1445</v>
      </c>
      <c r="D531" s="1153" t="s">
        <v>332</v>
      </c>
      <c r="Q531" s="1153" t="s">
        <v>1615</v>
      </c>
      <c r="R531" s="1153" t="s">
        <v>332</v>
      </c>
      <c r="S531" s="1153" t="s">
        <v>1683</v>
      </c>
      <c r="T531" s="1153" t="s">
        <v>333</v>
      </c>
    </row>
    <row r="532" spans="1:20" s="1153" customFormat="1" ht="15" hidden="1" customHeight="1">
      <c r="A532" s="1153" t="s">
        <v>1617</v>
      </c>
      <c r="B532" s="1153" t="s">
        <v>334</v>
      </c>
      <c r="C532" s="1153" t="s">
        <v>1450</v>
      </c>
      <c r="D532" s="1153" t="s">
        <v>312</v>
      </c>
      <c r="Q532" s="1153" t="s">
        <v>1619</v>
      </c>
      <c r="R532" s="1153" t="s">
        <v>332</v>
      </c>
      <c r="S532" s="1153" t="s">
        <v>1687</v>
      </c>
      <c r="T532" s="1153" t="s">
        <v>333</v>
      </c>
    </row>
    <row r="533" spans="1:20" s="1153" customFormat="1" ht="15" hidden="1" customHeight="1">
      <c r="A533" s="1153" t="s">
        <v>1621</v>
      </c>
      <c r="B533" s="1153" t="s">
        <v>312</v>
      </c>
      <c r="C533" s="1153" t="s">
        <v>1455</v>
      </c>
      <c r="D533" s="1153" t="s">
        <v>336</v>
      </c>
      <c r="Q533" s="1153" t="s">
        <v>1623</v>
      </c>
      <c r="R533" s="1153" t="s">
        <v>332</v>
      </c>
      <c r="S533" s="1153" t="s">
        <v>1691</v>
      </c>
      <c r="T533" s="1153" t="s">
        <v>312</v>
      </c>
    </row>
    <row r="534" spans="1:20" s="1153" customFormat="1" ht="15" hidden="1" customHeight="1">
      <c r="A534" s="1153" t="s">
        <v>1625</v>
      </c>
      <c r="B534" s="1153" t="s">
        <v>334</v>
      </c>
      <c r="C534" s="1153" t="s">
        <v>1460</v>
      </c>
      <c r="D534" s="1153" t="s">
        <v>336</v>
      </c>
      <c r="Q534" s="1153" t="s">
        <v>1627</v>
      </c>
      <c r="R534" s="1153" t="s">
        <v>332</v>
      </c>
      <c r="S534" s="1153" t="s">
        <v>1695</v>
      </c>
      <c r="T534" s="1153" t="s">
        <v>333</v>
      </c>
    </row>
    <row r="535" spans="1:20" s="1153" customFormat="1" ht="15" hidden="1" customHeight="1">
      <c r="A535" s="1153" t="s">
        <v>1629</v>
      </c>
      <c r="B535" s="1153" t="s">
        <v>334</v>
      </c>
      <c r="C535" s="1153" t="s">
        <v>1465</v>
      </c>
      <c r="D535" s="1153" t="s">
        <v>336</v>
      </c>
      <c r="Q535" s="1153" t="s">
        <v>1631</v>
      </c>
      <c r="R535" s="1153" t="s">
        <v>332</v>
      </c>
      <c r="S535" s="1153" t="s">
        <v>1699</v>
      </c>
      <c r="T535" s="1153" t="s">
        <v>334</v>
      </c>
    </row>
    <row r="536" spans="1:20" s="1153" customFormat="1" ht="15" hidden="1" customHeight="1">
      <c r="A536" s="1153" t="s">
        <v>1633</v>
      </c>
      <c r="B536" s="1153" t="s">
        <v>312</v>
      </c>
      <c r="C536" s="1153" t="s">
        <v>1470</v>
      </c>
      <c r="D536" s="1153" t="s">
        <v>333</v>
      </c>
      <c r="Q536" s="1153" t="s">
        <v>1635</v>
      </c>
      <c r="R536" s="1153" t="s">
        <v>333</v>
      </c>
      <c r="S536" s="1153" t="s">
        <v>1703</v>
      </c>
      <c r="T536" s="1153" t="s">
        <v>335</v>
      </c>
    </row>
    <row r="537" spans="1:20" s="1153" customFormat="1" ht="15" hidden="1" customHeight="1">
      <c r="A537" s="1153" t="s">
        <v>1637</v>
      </c>
      <c r="B537" s="1153" t="s">
        <v>334</v>
      </c>
      <c r="C537" s="1153" t="s">
        <v>1475</v>
      </c>
      <c r="D537" s="1153" t="s">
        <v>336</v>
      </c>
      <c r="Q537" s="1153" t="s">
        <v>1639</v>
      </c>
      <c r="R537" s="1153" t="s">
        <v>312</v>
      </c>
      <c r="S537" s="1153" t="s">
        <v>1707</v>
      </c>
      <c r="T537" s="1153" t="s">
        <v>332</v>
      </c>
    </row>
    <row r="538" spans="1:20" s="1153" customFormat="1" ht="15" hidden="1" customHeight="1">
      <c r="A538" s="1153" t="s">
        <v>1641</v>
      </c>
      <c r="B538" s="1153" t="s">
        <v>334</v>
      </c>
      <c r="C538" s="1153" t="s">
        <v>1480</v>
      </c>
      <c r="D538" s="1153" t="s">
        <v>333</v>
      </c>
      <c r="Q538" s="1153" t="s">
        <v>1643</v>
      </c>
      <c r="R538" s="1153" t="s">
        <v>312</v>
      </c>
      <c r="S538" s="1153" t="s">
        <v>1711</v>
      </c>
      <c r="T538" s="1153" t="s">
        <v>333</v>
      </c>
    </row>
    <row r="539" spans="1:20" s="1153" customFormat="1" ht="15" hidden="1" customHeight="1">
      <c r="A539" s="1153" t="s">
        <v>1645</v>
      </c>
      <c r="B539" s="1153" t="s">
        <v>333</v>
      </c>
      <c r="C539" s="1153" t="s">
        <v>1485</v>
      </c>
      <c r="D539" s="1153" t="s">
        <v>334</v>
      </c>
      <c r="Q539" s="1153" t="s">
        <v>1647</v>
      </c>
      <c r="R539" s="1153" t="s">
        <v>333</v>
      </c>
      <c r="S539" s="1153" t="s">
        <v>1715</v>
      </c>
      <c r="T539" s="1153" t="s">
        <v>332</v>
      </c>
    </row>
    <row r="540" spans="1:20" s="1153" customFormat="1" ht="15" hidden="1" customHeight="1">
      <c r="A540" s="1153" t="s">
        <v>1649</v>
      </c>
      <c r="B540" s="1153" t="s">
        <v>332</v>
      </c>
      <c r="C540" s="1153" t="s">
        <v>1490</v>
      </c>
      <c r="D540" s="1153" t="s">
        <v>332</v>
      </c>
      <c r="Q540" s="1153" t="s">
        <v>1651</v>
      </c>
      <c r="R540" s="1153" t="s">
        <v>332</v>
      </c>
      <c r="S540" s="1153" t="s">
        <v>1718</v>
      </c>
      <c r="T540" s="1153" t="s">
        <v>312</v>
      </c>
    </row>
    <row r="541" spans="1:20" s="1153" customFormat="1" ht="15" hidden="1" customHeight="1">
      <c r="A541" s="1153" t="s">
        <v>1653</v>
      </c>
      <c r="B541" s="1153" t="s">
        <v>335</v>
      </c>
      <c r="C541" s="1153" t="s">
        <v>1495</v>
      </c>
      <c r="D541" s="1153" t="s">
        <v>333</v>
      </c>
      <c r="Q541" s="1153" t="s">
        <v>1655</v>
      </c>
      <c r="R541" s="1153" t="s">
        <v>312</v>
      </c>
      <c r="S541" s="1153" t="s">
        <v>1721</v>
      </c>
      <c r="T541" s="1153" t="s">
        <v>334</v>
      </c>
    </row>
    <row r="542" spans="1:20" s="1153" customFormat="1" ht="15" hidden="1" customHeight="1">
      <c r="A542" s="1153" t="s">
        <v>1657</v>
      </c>
      <c r="B542" s="1153" t="s">
        <v>334</v>
      </c>
      <c r="C542" s="1153" t="s">
        <v>1500</v>
      </c>
      <c r="D542" s="1153" t="s">
        <v>312</v>
      </c>
      <c r="Q542" s="1153" t="s">
        <v>1659</v>
      </c>
      <c r="R542" s="1153" t="s">
        <v>333</v>
      </c>
      <c r="S542" s="1153" t="s">
        <v>1724</v>
      </c>
      <c r="T542" s="1153" t="s">
        <v>332</v>
      </c>
    </row>
    <row r="543" spans="1:20" s="1153" customFormat="1" ht="15" hidden="1" customHeight="1">
      <c r="A543" s="1153" t="s">
        <v>1661</v>
      </c>
      <c r="B543" s="1153" t="s">
        <v>333</v>
      </c>
      <c r="C543" s="1153" t="s">
        <v>1505</v>
      </c>
      <c r="D543" s="1153" t="s">
        <v>333</v>
      </c>
      <c r="Q543" s="1153" t="s">
        <v>1663</v>
      </c>
      <c r="R543" s="1153" t="s">
        <v>332</v>
      </c>
      <c r="S543" s="1153" t="s">
        <v>1733</v>
      </c>
      <c r="T543" s="1153" t="s">
        <v>333</v>
      </c>
    </row>
    <row r="544" spans="1:20" s="1153" customFormat="1" ht="15" hidden="1" customHeight="1">
      <c r="A544" s="1153" t="s">
        <v>1665</v>
      </c>
      <c r="B544" s="1153" t="s">
        <v>335</v>
      </c>
      <c r="C544" s="1153" t="s">
        <v>1510</v>
      </c>
      <c r="D544" s="1153" t="s">
        <v>334</v>
      </c>
      <c r="Q544" s="1153" t="s">
        <v>1667</v>
      </c>
      <c r="R544" s="1153" t="s">
        <v>312</v>
      </c>
      <c r="S544" s="1153" t="s">
        <v>1727</v>
      </c>
      <c r="T544" s="1153" t="s">
        <v>312</v>
      </c>
    </row>
    <row r="545" spans="1:20" s="1153" customFormat="1" ht="15" hidden="1" customHeight="1">
      <c r="A545" s="1153" t="s">
        <v>1673</v>
      </c>
      <c r="B545" s="1153" t="s">
        <v>333</v>
      </c>
      <c r="C545" s="1153" t="s">
        <v>1515</v>
      </c>
      <c r="D545" s="1153" t="s">
        <v>332</v>
      </c>
      <c r="Q545" s="1153" t="s">
        <v>1671</v>
      </c>
      <c r="R545" s="1153" t="s">
        <v>312</v>
      </c>
      <c r="S545" s="1153" t="s">
        <v>1730</v>
      </c>
      <c r="T545" s="1153" t="s">
        <v>333</v>
      </c>
    </row>
    <row r="546" spans="1:20" s="1153" customFormat="1" ht="15" hidden="1" customHeight="1">
      <c r="A546" s="1153" t="s">
        <v>1680</v>
      </c>
      <c r="B546" s="1153" t="s">
        <v>333</v>
      </c>
      <c r="C546" s="1153" t="s">
        <v>1520</v>
      </c>
      <c r="D546" s="1153" t="s">
        <v>334</v>
      </c>
      <c r="Q546" s="1153" t="s">
        <v>1675</v>
      </c>
      <c r="R546" s="1153" t="s">
        <v>332</v>
      </c>
      <c r="S546" s="1153" t="s">
        <v>1736</v>
      </c>
      <c r="T546" s="1153" t="s">
        <v>335</v>
      </c>
    </row>
    <row r="547" spans="1:20" s="1153" customFormat="1" ht="15" hidden="1" customHeight="1">
      <c r="A547" s="1153" t="s">
        <v>1684</v>
      </c>
      <c r="B547" s="1153" t="s">
        <v>334</v>
      </c>
      <c r="C547" s="1153" t="s">
        <v>1525</v>
      </c>
      <c r="D547" s="1153" t="s">
        <v>333</v>
      </c>
      <c r="Q547" s="1153" t="s">
        <v>1678</v>
      </c>
      <c r="R547" s="1153" t="s">
        <v>332</v>
      </c>
      <c r="S547" s="1153" t="s">
        <v>1739</v>
      </c>
      <c r="T547" s="1153" t="s">
        <v>332</v>
      </c>
    </row>
    <row r="548" spans="1:20" s="1153" customFormat="1" ht="15" hidden="1" customHeight="1">
      <c r="A548" s="1153" t="s">
        <v>1688</v>
      </c>
      <c r="B548" s="1153" t="s">
        <v>332</v>
      </c>
      <c r="C548" s="1153" t="s">
        <v>1530</v>
      </c>
      <c r="D548" s="1153" t="s">
        <v>336</v>
      </c>
      <c r="Q548" s="1153" t="s">
        <v>1682</v>
      </c>
      <c r="R548" s="1153" t="s">
        <v>312</v>
      </c>
      <c r="S548" s="1153" t="s">
        <v>1742</v>
      </c>
      <c r="T548" s="1153" t="s">
        <v>332</v>
      </c>
    </row>
    <row r="549" spans="1:20" s="1153" customFormat="1" ht="15" hidden="1" customHeight="1">
      <c r="A549" s="1153" t="s">
        <v>1692</v>
      </c>
      <c r="B549" s="1153" t="s">
        <v>334</v>
      </c>
      <c r="C549" s="1153" t="s">
        <v>1535</v>
      </c>
      <c r="D549" s="1153" t="s">
        <v>336</v>
      </c>
      <c r="Q549" s="1153" t="s">
        <v>1686</v>
      </c>
      <c r="R549" s="1153" t="s">
        <v>335</v>
      </c>
      <c r="S549" s="1153" t="s">
        <v>1745</v>
      </c>
      <c r="T549" s="1153" t="s">
        <v>333</v>
      </c>
    </row>
    <row r="550" spans="1:20" s="1153" customFormat="1" ht="15" hidden="1" customHeight="1">
      <c r="A550" s="1153" t="s">
        <v>1696</v>
      </c>
      <c r="B550" s="1153" t="s">
        <v>333</v>
      </c>
      <c r="C550" s="1153" t="s">
        <v>1540</v>
      </c>
      <c r="D550" s="1153" t="s">
        <v>312</v>
      </c>
      <c r="Q550" s="1153" t="s">
        <v>1690</v>
      </c>
      <c r="R550" s="1153" t="s">
        <v>312</v>
      </c>
      <c r="S550" s="1153" t="s">
        <v>1748</v>
      </c>
      <c r="T550" s="1153" t="s">
        <v>333</v>
      </c>
    </row>
    <row r="551" spans="1:20" s="1153" customFormat="1" ht="15" hidden="1" customHeight="1">
      <c r="A551" s="1153" t="s">
        <v>1700</v>
      </c>
      <c r="B551" s="1153" t="s">
        <v>332</v>
      </c>
      <c r="C551" s="1153" t="s">
        <v>1545</v>
      </c>
      <c r="D551" s="1153" t="s">
        <v>336</v>
      </c>
      <c r="Q551" s="1153" t="s">
        <v>1694</v>
      </c>
      <c r="R551" s="1153" t="s">
        <v>312</v>
      </c>
      <c r="S551" s="1153" t="s">
        <v>1751</v>
      </c>
      <c r="T551" s="1153" t="s">
        <v>334</v>
      </c>
    </row>
    <row r="552" spans="1:20" s="1153" customFormat="1" ht="15" hidden="1" customHeight="1">
      <c r="A552" s="1153" t="s">
        <v>1704</v>
      </c>
      <c r="B552" s="1153" t="s">
        <v>332</v>
      </c>
      <c r="C552" s="1153" t="s">
        <v>1550</v>
      </c>
      <c r="D552" s="1153" t="s">
        <v>312</v>
      </c>
      <c r="Q552" s="1153" t="s">
        <v>1698</v>
      </c>
      <c r="R552" s="1153" t="s">
        <v>333</v>
      </c>
      <c r="S552" s="1153" t="s">
        <v>1754</v>
      </c>
      <c r="T552" s="1153" t="s">
        <v>332</v>
      </c>
    </row>
    <row r="553" spans="1:20" s="1153" customFormat="1" ht="15" hidden="1" customHeight="1">
      <c r="A553" s="1153" t="s">
        <v>1708</v>
      </c>
      <c r="B553" s="1153" t="s">
        <v>335</v>
      </c>
      <c r="C553" s="1153" t="s">
        <v>1555</v>
      </c>
      <c r="D553" s="1153" t="s">
        <v>336</v>
      </c>
      <c r="Q553" s="1153" t="s">
        <v>1702</v>
      </c>
      <c r="R553" s="1153" t="s">
        <v>334</v>
      </c>
      <c r="S553" s="1153" t="s">
        <v>1757</v>
      </c>
      <c r="T553" s="1153" t="s">
        <v>333</v>
      </c>
    </row>
    <row r="554" spans="1:20" s="1153" customFormat="1" ht="15" hidden="1" customHeight="1">
      <c r="A554" s="1153" t="s">
        <v>1712</v>
      </c>
      <c r="B554" s="1153" t="s">
        <v>334</v>
      </c>
      <c r="C554" s="1153" t="s">
        <v>1560</v>
      </c>
      <c r="D554" s="1153" t="s">
        <v>332</v>
      </c>
      <c r="Q554" s="1153" t="s">
        <v>1706</v>
      </c>
      <c r="R554" s="1153" t="s">
        <v>333</v>
      </c>
      <c r="S554" s="1153" t="s">
        <v>1760</v>
      </c>
      <c r="T554" s="1153" t="s">
        <v>332</v>
      </c>
    </row>
    <row r="555" spans="1:20" s="1153" customFormat="1" ht="15" hidden="1" customHeight="1">
      <c r="A555" s="1153" t="s">
        <v>1716</v>
      </c>
      <c r="B555" s="1153" t="s">
        <v>332</v>
      </c>
      <c r="C555" s="1153" t="s">
        <v>1565</v>
      </c>
      <c r="D555" s="1153" t="s">
        <v>332</v>
      </c>
      <c r="Q555" s="1153" t="s">
        <v>1710</v>
      </c>
      <c r="R555" s="1153" t="s">
        <v>312</v>
      </c>
      <c r="S555" s="1153" t="s">
        <v>1763</v>
      </c>
      <c r="T555" s="1153" t="s">
        <v>333</v>
      </c>
    </row>
    <row r="556" spans="1:20" s="1153" customFormat="1" ht="15" hidden="1" customHeight="1">
      <c r="A556" s="1153" t="s">
        <v>1719</v>
      </c>
      <c r="B556" s="1153" t="s">
        <v>335</v>
      </c>
      <c r="C556" s="1153" t="s">
        <v>1570</v>
      </c>
      <c r="D556" s="1153" t="s">
        <v>334</v>
      </c>
      <c r="Q556" s="1153" t="s">
        <v>1714</v>
      </c>
      <c r="R556" s="1153" t="s">
        <v>332</v>
      </c>
      <c r="S556" s="1153" t="s">
        <v>1766</v>
      </c>
      <c r="T556" s="1153" t="s">
        <v>333</v>
      </c>
    </row>
    <row r="557" spans="1:20" s="1153" customFormat="1" ht="15" hidden="1" customHeight="1">
      <c r="A557" s="1153" t="s">
        <v>1722</v>
      </c>
      <c r="B557" s="1153" t="s">
        <v>334</v>
      </c>
      <c r="C557" s="1153" t="s">
        <v>1575</v>
      </c>
      <c r="D557" s="1153" t="s">
        <v>332</v>
      </c>
      <c r="S557" s="1153" t="s">
        <v>1769</v>
      </c>
      <c r="T557" s="1153" t="s">
        <v>332</v>
      </c>
    </row>
    <row r="558" spans="1:20" s="1153" customFormat="1" ht="15" hidden="1" customHeight="1">
      <c r="A558" s="1153" t="s">
        <v>1725</v>
      </c>
      <c r="B558" s="1153" t="s">
        <v>333</v>
      </c>
      <c r="C558" s="1153" t="s">
        <v>1580</v>
      </c>
      <c r="D558" s="1153" t="s">
        <v>335</v>
      </c>
      <c r="S558" s="1153" t="s">
        <v>1772</v>
      </c>
      <c r="T558" s="1153" t="s">
        <v>333</v>
      </c>
    </row>
    <row r="559" spans="1:20" s="1153" customFormat="1" ht="15" hidden="1" customHeight="1">
      <c r="A559" s="1153" t="s">
        <v>1728</v>
      </c>
      <c r="B559" s="1153" t="s">
        <v>332</v>
      </c>
      <c r="C559" s="1153" t="s">
        <v>1585</v>
      </c>
      <c r="D559" s="1153" t="s">
        <v>334</v>
      </c>
      <c r="S559" s="1153" t="s">
        <v>1775</v>
      </c>
      <c r="T559" s="1153" t="s">
        <v>335</v>
      </c>
    </row>
    <row r="560" spans="1:20" s="1153" customFormat="1" ht="15" hidden="1" customHeight="1">
      <c r="A560" s="1153" t="s">
        <v>1731</v>
      </c>
      <c r="B560" s="1153" t="s">
        <v>333</v>
      </c>
      <c r="C560" s="1153" t="s">
        <v>1590</v>
      </c>
      <c r="D560" s="1153" t="s">
        <v>312</v>
      </c>
      <c r="S560" s="1153" t="s">
        <v>1778</v>
      </c>
      <c r="T560" s="1153" t="s">
        <v>334</v>
      </c>
    </row>
    <row r="561" spans="1:20" s="1153" customFormat="1" ht="15" hidden="1" customHeight="1">
      <c r="A561" s="1153" t="s">
        <v>1669</v>
      </c>
      <c r="B561" s="1153" t="s">
        <v>332</v>
      </c>
      <c r="C561" s="1153" t="s">
        <v>1594</v>
      </c>
      <c r="D561" s="1153" t="s">
        <v>336</v>
      </c>
      <c r="S561" s="1153" t="s">
        <v>1781</v>
      </c>
      <c r="T561" s="1153" t="s">
        <v>333</v>
      </c>
    </row>
    <row r="562" spans="1:20" s="1153" customFormat="1" ht="15" hidden="1" customHeight="1">
      <c r="A562" s="1153" t="s">
        <v>1734</v>
      </c>
      <c r="B562" s="1153" t="s">
        <v>334</v>
      </c>
      <c r="C562" s="1153" t="s">
        <v>1598</v>
      </c>
      <c r="D562" s="1153" t="s">
        <v>332</v>
      </c>
      <c r="S562" s="1153" t="s">
        <v>1784</v>
      </c>
      <c r="T562" s="1153" t="s">
        <v>332</v>
      </c>
    </row>
    <row r="563" spans="1:20" s="1153" customFormat="1" ht="15" hidden="1" customHeight="1">
      <c r="A563" s="1153" t="s">
        <v>1737</v>
      </c>
      <c r="B563" s="1153" t="s">
        <v>333</v>
      </c>
      <c r="C563" s="1153" t="s">
        <v>1602</v>
      </c>
      <c r="D563" s="1153" t="s">
        <v>332</v>
      </c>
      <c r="S563" s="1153" t="s">
        <v>1787</v>
      </c>
      <c r="T563" s="1153" t="s">
        <v>332</v>
      </c>
    </row>
    <row r="564" spans="1:20" s="1153" customFormat="1" ht="15" hidden="1" customHeight="1">
      <c r="A564" s="1153" t="s">
        <v>1740</v>
      </c>
      <c r="B564" s="1153" t="s">
        <v>332</v>
      </c>
      <c r="C564" s="1153" t="s">
        <v>1606</v>
      </c>
      <c r="D564" s="1153" t="s">
        <v>336</v>
      </c>
      <c r="S564" s="1153" t="s">
        <v>1790</v>
      </c>
      <c r="T564" s="1153" t="s">
        <v>333</v>
      </c>
    </row>
    <row r="565" spans="1:20" s="1153" customFormat="1" ht="15" hidden="1" customHeight="1">
      <c r="A565" s="1153" t="s">
        <v>1743</v>
      </c>
      <c r="B565" s="1153" t="s">
        <v>333</v>
      </c>
      <c r="C565" s="1153" t="s">
        <v>1610</v>
      </c>
      <c r="D565" s="1153" t="s">
        <v>335</v>
      </c>
      <c r="S565" s="1153" t="s">
        <v>1792</v>
      </c>
      <c r="T565" s="1153" t="s">
        <v>332</v>
      </c>
    </row>
    <row r="566" spans="1:20" s="1153" customFormat="1" ht="15" hidden="1" customHeight="1">
      <c r="A566" s="1153" t="s">
        <v>1746</v>
      </c>
      <c r="B566" s="1153" t="s">
        <v>336</v>
      </c>
      <c r="C566" s="1153" t="s">
        <v>1614</v>
      </c>
      <c r="D566" s="1153" t="s">
        <v>336</v>
      </c>
      <c r="S566" s="1153" t="s">
        <v>1794</v>
      </c>
      <c r="T566" s="1153" t="s">
        <v>333</v>
      </c>
    </row>
    <row r="567" spans="1:20" s="1153" customFormat="1" ht="15" hidden="1" customHeight="1">
      <c r="A567" s="1153" t="s">
        <v>1749</v>
      </c>
      <c r="B567" s="1153" t="s">
        <v>332</v>
      </c>
      <c r="C567" s="1153" t="s">
        <v>1618</v>
      </c>
      <c r="D567" s="1153" t="s">
        <v>334</v>
      </c>
      <c r="S567" s="1153" t="s">
        <v>1796</v>
      </c>
      <c r="T567" s="1153" t="s">
        <v>312</v>
      </c>
    </row>
    <row r="568" spans="1:20" s="1153" customFormat="1" ht="15" hidden="1" customHeight="1">
      <c r="A568" s="1153" t="s">
        <v>1752</v>
      </c>
      <c r="B568" s="1153" t="s">
        <v>335</v>
      </c>
      <c r="C568" s="1153" t="s">
        <v>1622</v>
      </c>
      <c r="D568" s="1153" t="s">
        <v>312</v>
      </c>
      <c r="S568" s="1153" t="s">
        <v>1798</v>
      </c>
      <c r="T568" s="1153" t="s">
        <v>334</v>
      </c>
    </row>
    <row r="569" spans="1:20" s="1153" customFormat="1" ht="15" hidden="1" customHeight="1">
      <c r="A569" s="1153" t="s">
        <v>1755</v>
      </c>
      <c r="B569" s="1153" t="s">
        <v>332</v>
      </c>
      <c r="C569" s="1153" t="s">
        <v>1626</v>
      </c>
      <c r="D569" s="1153" t="s">
        <v>335</v>
      </c>
      <c r="S569" s="1153" t="s">
        <v>1800</v>
      </c>
      <c r="T569" s="1153" t="s">
        <v>332</v>
      </c>
    </row>
    <row r="570" spans="1:20" s="1153" customFormat="1" ht="15" hidden="1" customHeight="1">
      <c r="A570" s="1153" t="s">
        <v>1758</v>
      </c>
      <c r="B570" s="1153" t="s">
        <v>333</v>
      </c>
      <c r="C570" s="1153" t="s">
        <v>1630</v>
      </c>
      <c r="D570" s="1153" t="s">
        <v>332</v>
      </c>
      <c r="S570" s="1153" t="s">
        <v>1802</v>
      </c>
      <c r="T570" s="1153" t="s">
        <v>333</v>
      </c>
    </row>
    <row r="571" spans="1:20" s="1153" customFormat="1" ht="15" hidden="1" customHeight="1">
      <c r="A571" s="1153" t="s">
        <v>1761</v>
      </c>
      <c r="B571" s="1153" t="s">
        <v>334</v>
      </c>
      <c r="C571" s="1153" t="s">
        <v>1638</v>
      </c>
      <c r="D571" s="1153" t="s">
        <v>312</v>
      </c>
      <c r="S571" s="1153" t="s">
        <v>1806</v>
      </c>
      <c r="T571" s="1153" t="s">
        <v>333</v>
      </c>
    </row>
    <row r="572" spans="1:20" s="1153" customFormat="1" ht="15" hidden="1" customHeight="1">
      <c r="A572" s="1153" t="s">
        <v>1764</v>
      </c>
      <c r="B572" s="1153" t="s">
        <v>332</v>
      </c>
      <c r="C572" s="1153" t="s">
        <v>1634</v>
      </c>
      <c r="D572" s="1153" t="s">
        <v>312</v>
      </c>
      <c r="S572" s="1153" t="s">
        <v>1808</v>
      </c>
      <c r="T572" s="1153" t="s">
        <v>332</v>
      </c>
    </row>
    <row r="573" spans="1:20" s="1153" customFormat="1" ht="15" hidden="1" customHeight="1">
      <c r="A573" s="1153" t="s">
        <v>1767</v>
      </c>
      <c r="B573" s="1153" t="s">
        <v>333</v>
      </c>
      <c r="C573" s="1153" t="s">
        <v>1646</v>
      </c>
      <c r="D573" s="1153" t="s">
        <v>335</v>
      </c>
      <c r="S573" s="1153" t="s">
        <v>1810</v>
      </c>
      <c r="T573" s="1153" t="s">
        <v>312</v>
      </c>
    </row>
    <row r="574" spans="1:20" s="1153" customFormat="1" ht="15" hidden="1" customHeight="1">
      <c r="A574" s="1153" t="s">
        <v>1770</v>
      </c>
      <c r="B574" s="1153" t="s">
        <v>336</v>
      </c>
      <c r="C574" s="1153" t="s">
        <v>1650</v>
      </c>
      <c r="D574" s="1153" t="s">
        <v>332</v>
      </c>
      <c r="S574" s="1153" t="s">
        <v>1804</v>
      </c>
      <c r="T574" s="1153" t="s">
        <v>332</v>
      </c>
    </row>
    <row r="575" spans="1:20" s="1153" customFormat="1" ht="15" hidden="1" customHeight="1">
      <c r="A575" s="1153" t="s">
        <v>1773</v>
      </c>
      <c r="B575" s="1153" t="s">
        <v>333</v>
      </c>
      <c r="C575" s="1153" t="s">
        <v>1642</v>
      </c>
      <c r="D575" s="1153" t="s">
        <v>333</v>
      </c>
      <c r="S575" s="1153" t="s">
        <v>1812</v>
      </c>
      <c r="T575" s="1153" t="s">
        <v>332</v>
      </c>
    </row>
    <row r="576" spans="1:20" s="1153" customFormat="1" ht="15" hidden="1" customHeight="1">
      <c r="A576" s="1153" t="s">
        <v>1779</v>
      </c>
      <c r="B576" s="1153" t="s">
        <v>334</v>
      </c>
      <c r="C576" s="1153" t="s">
        <v>1654</v>
      </c>
      <c r="D576" s="1153" t="s">
        <v>332</v>
      </c>
      <c r="S576" s="1153" t="s">
        <v>1814</v>
      </c>
      <c r="T576" s="1153" t="s">
        <v>334</v>
      </c>
    </row>
    <row r="577" spans="1:20" s="1153" customFormat="1" ht="15" hidden="1" customHeight="1">
      <c r="A577" s="1153" t="s">
        <v>1776</v>
      </c>
      <c r="B577" s="1153" t="s">
        <v>332</v>
      </c>
      <c r="C577" s="1153" t="s">
        <v>1658</v>
      </c>
      <c r="D577" s="1153" t="s">
        <v>333</v>
      </c>
      <c r="S577" s="1153" t="s">
        <v>1816</v>
      </c>
      <c r="T577" s="1153" t="s">
        <v>332</v>
      </c>
    </row>
    <row r="578" spans="1:20" s="1153" customFormat="1" ht="15" hidden="1" customHeight="1">
      <c r="A578" s="1153" t="s">
        <v>1782</v>
      </c>
      <c r="B578" s="1153" t="s">
        <v>333</v>
      </c>
      <c r="C578" s="1153" t="s">
        <v>1662</v>
      </c>
      <c r="D578" s="1153" t="s">
        <v>312</v>
      </c>
      <c r="S578" s="1153" t="s">
        <v>1818</v>
      </c>
      <c r="T578" s="1153" t="s">
        <v>312</v>
      </c>
    </row>
    <row r="579" spans="1:20" s="1153" customFormat="1" ht="15" hidden="1" customHeight="1">
      <c r="A579" s="1153" t="s">
        <v>1785</v>
      </c>
      <c r="B579" s="1153" t="s">
        <v>334</v>
      </c>
      <c r="C579" s="1153" t="s">
        <v>1666</v>
      </c>
      <c r="D579" s="1153" t="s">
        <v>333</v>
      </c>
      <c r="S579" s="1153" t="s">
        <v>1820</v>
      </c>
      <c r="T579" s="1153" t="s">
        <v>332</v>
      </c>
    </row>
    <row r="580" spans="1:20" s="1153" customFormat="1" ht="15" hidden="1" customHeight="1">
      <c r="A580" s="1153" t="s">
        <v>1788</v>
      </c>
      <c r="B580" s="1153" t="s">
        <v>333</v>
      </c>
      <c r="C580" s="1153" t="s">
        <v>1670</v>
      </c>
      <c r="D580" s="1153" t="s">
        <v>332</v>
      </c>
      <c r="S580" s="1153" t="s">
        <v>1822</v>
      </c>
      <c r="T580" s="1153" t="s">
        <v>312</v>
      </c>
    </row>
    <row r="581" spans="1:20" s="1153" customFormat="1" ht="15" hidden="1" customHeight="1">
      <c r="A581" s="1153" t="s">
        <v>1791</v>
      </c>
      <c r="B581" s="1153" t="s">
        <v>333</v>
      </c>
      <c r="C581" s="1153" t="s">
        <v>1674</v>
      </c>
      <c r="D581" s="1153" t="s">
        <v>312</v>
      </c>
      <c r="S581" s="1153" t="s">
        <v>1824</v>
      </c>
      <c r="T581" s="1153" t="s">
        <v>312</v>
      </c>
    </row>
    <row r="582" spans="1:20" s="1153" customFormat="1" ht="15" hidden="1" customHeight="1">
      <c r="A582" s="1153" t="s">
        <v>1793</v>
      </c>
      <c r="B582" s="1153" t="s">
        <v>333</v>
      </c>
      <c r="C582" s="1153" t="s">
        <v>1677</v>
      </c>
      <c r="D582" s="1153" t="s">
        <v>332</v>
      </c>
      <c r="S582" s="1153" t="s">
        <v>1826</v>
      </c>
      <c r="T582" s="1153" t="s">
        <v>335</v>
      </c>
    </row>
    <row r="583" spans="1:20" s="1153" customFormat="1" ht="15" hidden="1" customHeight="1">
      <c r="A583" s="1153" t="s">
        <v>1795</v>
      </c>
      <c r="B583" s="1153" t="s">
        <v>335</v>
      </c>
      <c r="C583" s="1153" t="s">
        <v>1681</v>
      </c>
      <c r="D583" s="1153" t="s">
        <v>312</v>
      </c>
      <c r="S583" s="1153" t="s">
        <v>1828</v>
      </c>
      <c r="T583" s="1153" t="s">
        <v>333</v>
      </c>
    </row>
    <row r="584" spans="1:20" s="1153" customFormat="1" ht="15" hidden="1" customHeight="1">
      <c r="A584" s="1153" t="s">
        <v>1797</v>
      </c>
      <c r="B584" s="1153" t="s">
        <v>334</v>
      </c>
      <c r="C584" s="1153" t="s">
        <v>1685</v>
      </c>
      <c r="D584" s="1153" t="s">
        <v>334</v>
      </c>
      <c r="S584" s="1153" t="s">
        <v>1830</v>
      </c>
      <c r="T584" s="1153" t="s">
        <v>332</v>
      </c>
    </row>
    <row r="585" spans="1:20" s="1153" customFormat="1" ht="15" hidden="1" customHeight="1">
      <c r="A585" s="1153" t="s">
        <v>1799</v>
      </c>
      <c r="B585" s="1153" t="s">
        <v>333</v>
      </c>
      <c r="C585" s="1153" t="s">
        <v>1689</v>
      </c>
      <c r="D585" s="1153" t="s">
        <v>333</v>
      </c>
      <c r="S585" s="1153" t="s">
        <v>1832</v>
      </c>
      <c r="T585" s="1153" t="s">
        <v>312</v>
      </c>
    </row>
    <row r="586" spans="1:20" s="1153" customFormat="1" ht="15" hidden="1" customHeight="1">
      <c r="A586" s="1153" t="s">
        <v>1801</v>
      </c>
      <c r="B586" s="1153" t="s">
        <v>333</v>
      </c>
      <c r="C586" s="1153" t="s">
        <v>1693</v>
      </c>
      <c r="D586" s="1153" t="s">
        <v>334</v>
      </c>
      <c r="S586" s="1153" t="s">
        <v>1834</v>
      </c>
      <c r="T586" s="1153" t="s">
        <v>335</v>
      </c>
    </row>
    <row r="587" spans="1:20" s="1153" customFormat="1" ht="15" hidden="1" customHeight="1">
      <c r="A587" s="1153" t="s">
        <v>1803</v>
      </c>
      <c r="B587" s="1153" t="s">
        <v>335</v>
      </c>
      <c r="C587" s="1153" t="s">
        <v>1697</v>
      </c>
      <c r="D587" s="1153" t="s">
        <v>336</v>
      </c>
      <c r="S587" s="1153" t="s">
        <v>1836</v>
      </c>
      <c r="T587" s="1153" t="s">
        <v>312</v>
      </c>
    </row>
    <row r="588" spans="1:20" s="1153" customFormat="1" ht="15" hidden="1" customHeight="1">
      <c r="A588" s="1153" t="s">
        <v>1805</v>
      </c>
      <c r="B588" s="1153" t="s">
        <v>312</v>
      </c>
      <c r="C588" s="1153" t="s">
        <v>1701</v>
      </c>
      <c r="D588" s="1153" t="s">
        <v>334</v>
      </c>
      <c r="S588" s="1153" t="s">
        <v>1837</v>
      </c>
      <c r="T588" s="1153" t="s">
        <v>333</v>
      </c>
    </row>
    <row r="589" spans="1:20" s="1153" customFormat="1" ht="15" hidden="1" customHeight="1">
      <c r="A589" s="1153" t="s">
        <v>1807</v>
      </c>
      <c r="B589" s="1153" t="s">
        <v>333</v>
      </c>
      <c r="C589" s="1153" t="s">
        <v>1705</v>
      </c>
      <c r="D589" s="1153" t="s">
        <v>334</v>
      </c>
      <c r="S589" s="1153" t="s">
        <v>1838</v>
      </c>
      <c r="T589" s="1153" t="s">
        <v>332</v>
      </c>
    </row>
    <row r="590" spans="1:20" s="1153" customFormat="1" ht="15" hidden="1" customHeight="1">
      <c r="A590" s="1153" t="s">
        <v>1809</v>
      </c>
      <c r="B590" s="1153" t="s">
        <v>333</v>
      </c>
      <c r="C590" s="1153" t="s">
        <v>1709</v>
      </c>
      <c r="D590" s="1153" t="s">
        <v>332</v>
      </c>
      <c r="S590" s="1153" t="s">
        <v>1839</v>
      </c>
      <c r="T590" s="1153" t="s">
        <v>332</v>
      </c>
    </row>
    <row r="591" spans="1:20" s="1153" customFormat="1" ht="15" hidden="1" customHeight="1">
      <c r="A591" s="1153" t="s">
        <v>1811</v>
      </c>
      <c r="B591" s="1153" t="s">
        <v>334</v>
      </c>
      <c r="C591" s="1153" t="s">
        <v>1713</v>
      </c>
      <c r="D591" s="1153" t="s">
        <v>312</v>
      </c>
      <c r="S591" s="1153" t="s">
        <v>1840</v>
      </c>
      <c r="T591" s="1153" t="s">
        <v>312</v>
      </c>
    </row>
    <row r="592" spans="1:20" s="1153" customFormat="1" ht="15" hidden="1" customHeight="1">
      <c r="A592" s="1153" t="s">
        <v>1813</v>
      </c>
      <c r="B592" s="1153" t="s">
        <v>334</v>
      </c>
      <c r="C592" s="1153" t="s">
        <v>1717</v>
      </c>
      <c r="D592" s="1153" t="s">
        <v>333</v>
      </c>
      <c r="S592" s="1153" t="s">
        <v>1841</v>
      </c>
      <c r="T592" s="1153" t="s">
        <v>333</v>
      </c>
    </row>
    <row r="593" spans="1:20" s="1153" customFormat="1" ht="15" hidden="1" customHeight="1">
      <c r="A593" s="1153" t="s">
        <v>1815</v>
      </c>
      <c r="B593" s="1153" t="s">
        <v>333</v>
      </c>
      <c r="C593" s="1153" t="s">
        <v>1720</v>
      </c>
      <c r="D593" s="1153" t="s">
        <v>333</v>
      </c>
      <c r="S593" s="1153" t="s">
        <v>1842</v>
      </c>
      <c r="T593" s="1153" t="s">
        <v>333</v>
      </c>
    </row>
    <row r="594" spans="1:20" s="1153" customFormat="1" ht="15" hidden="1" customHeight="1">
      <c r="A594" s="1153" t="s">
        <v>1817</v>
      </c>
      <c r="B594" s="1153" t="s">
        <v>335</v>
      </c>
      <c r="C594" s="1153" t="s">
        <v>1723</v>
      </c>
      <c r="D594" s="1153" t="s">
        <v>333</v>
      </c>
      <c r="S594" s="1153" t="s">
        <v>1843</v>
      </c>
      <c r="T594" s="1153" t="s">
        <v>333</v>
      </c>
    </row>
    <row r="595" spans="1:20" s="1153" customFormat="1" ht="15" hidden="1" customHeight="1">
      <c r="A595" s="1153" t="s">
        <v>1819</v>
      </c>
      <c r="B595" s="1153" t="s">
        <v>334</v>
      </c>
      <c r="C595" s="1153" t="s">
        <v>1726</v>
      </c>
      <c r="D595" s="1153" t="s">
        <v>312</v>
      </c>
      <c r="S595" s="1153" t="s">
        <v>1844</v>
      </c>
      <c r="T595" s="1153" t="s">
        <v>333</v>
      </c>
    </row>
    <row r="596" spans="1:20" s="1153" customFormat="1" ht="15" hidden="1" customHeight="1">
      <c r="A596" s="1153" t="s">
        <v>1821</v>
      </c>
      <c r="B596" s="1153" t="s">
        <v>333</v>
      </c>
      <c r="C596" s="1153" t="s">
        <v>1729</v>
      </c>
      <c r="D596" s="1153" t="s">
        <v>332</v>
      </c>
      <c r="S596" s="1153" t="s">
        <v>1845</v>
      </c>
      <c r="T596" s="1153" t="s">
        <v>333</v>
      </c>
    </row>
    <row r="597" spans="1:20" s="1153" customFormat="1" ht="15" hidden="1" customHeight="1">
      <c r="A597" s="1153" t="s">
        <v>1823</v>
      </c>
      <c r="B597" s="1153" t="s">
        <v>334</v>
      </c>
      <c r="C597" s="1153" t="s">
        <v>1732</v>
      </c>
      <c r="D597" s="1153" t="s">
        <v>336</v>
      </c>
      <c r="S597" s="1153" t="s">
        <v>1846</v>
      </c>
      <c r="T597" s="1153" t="s">
        <v>332</v>
      </c>
    </row>
    <row r="598" spans="1:20" s="1153" customFormat="1" ht="15" hidden="1" customHeight="1">
      <c r="A598" s="1153" t="s">
        <v>1825</v>
      </c>
      <c r="B598" s="1153" t="s">
        <v>333</v>
      </c>
      <c r="C598" s="1153" t="s">
        <v>1735</v>
      </c>
      <c r="D598" s="1153" t="s">
        <v>336</v>
      </c>
      <c r="S598" s="1153" t="s">
        <v>1847</v>
      </c>
      <c r="T598" s="1153" t="s">
        <v>332</v>
      </c>
    </row>
    <row r="599" spans="1:20" s="1153" customFormat="1" ht="15" hidden="1" customHeight="1">
      <c r="A599" s="1153" t="s">
        <v>1827</v>
      </c>
      <c r="B599" s="1153" t="s">
        <v>334</v>
      </c>
      <c r="C599" s="1153" t="s">
        <v>1738</v>
      </c>
      <c r="D599" s="1153" t="s">
        <v>336</v>
      </c>
      <c r="S599" s="1153" t="s">
        <v>1849</v>
      </c>
      <c r="T599" s="1153" t="s">
        <v>333</v>
      </c>
    </row>
    <row r="600" spans="1:20" s="1153" customFormat="1" ht="15" hidden="1" customHeight="1">
      <c r="A600" s="1153" t="s">
        <v>1829</v>
      </c>
      <c r="B600" s="1153" t="s">
        <v>334</v>
      </c>
      <c r="C600" s="1153" t="s">
        <v>1741</v>
      </c>
      <c r="D600" s="1153" t="s">
        <v>336</v>
      </c>
      <c r="S600" s="1153" t="s">
        <v>1850</v>
      </c>
      <c r="T600" s="1153" t="s">
        <v>312</v>
      </c>
    </row>
    <row r="601" spans="1:20" s="1153" customFormat="1" ht="15" hidden="1" customHeight="1">
      <c r="A601" s="1153" t="s">
        <v>1831</v>
      </c>
      <c r="B601" s="1153" t="s">
        <v>332</v>
      </c>
      <c r="C601" s="1153" t="s">
        <v>1744</v>
      </c>
      <c r="D601" s="1153" t="s">
        <v>312</v>
      </c>
      <c r="S601" s="1153" t="s">
        <v>1848</v>
      </c>
      <c r="T601" s="1153" t="s">
        <v>335</v>
      </c>
    </row>
    <row r="602" spans="1:20" s="1153" customFormat="1" ht="15" hidden="1" customHeight="1">
      <c r="A602" s="1153" t="s">
        <v>1833</v>
      </c>
      <c r="B602" s="1153" t="s">
        <v>334</v>
      </c>
      <c r="C602" s="1153" t="s">
        <v>1747</v>
      </c>
      <c r="D602" s="1153" t="s">
        <v>312</v>
      </c>
      <c r="S602" s="1153" t="s">
        <v>1852</v>
      </c>
      <c r="T602" s="1153" t="s">
        <v>332</v>
      </c>
    </row>
    <row r="603" spans="1:20" s="1153" customFormat="1" ht="15" hidden="1" customHeight="1">
      <c r="A603" s="1153" t="s">
        <v>1835</v>
      </c>
      <c r="B603" s="1153" t="s">
        <v>335</v>
      </c>
      <c r="C603" s="1153" t="s">
        <v>1750</v>
      </c>
      <c r="D603" s="1153" t="s">
        <v>333</v>
      </c>
      <c r="S603" s="1153" t="s">
        <v>1851</v>
      </c>
      <c r="T603" s="1153" t="s">
        <v>312</v>
      </c>
    </row>
    <row r="604" spans="1:20" s="1153" customFormat="1" ht="15" hidden="1" customHeight="1">
      <c r="C604" s="1153" t="s">
        <v>1753</v>
      </c>
      <c r="D604" s="1153" t="s">
        <v>312</v>
      </c>
      <c r="S604" s="1153" t="s">
        <v>1853</v>
      </c>
      <c r="T604" s="1153" t="s">
        <v>312</v>
      </c>
    </row>
    <row r="605" spans="1:20" s="1153" customFormat="1" ht="15" hidden="1" customHeight="1">
      <c r="C605" s="1153" t="s">
        <v>1756</v>
      </c>
      <c r="D605" s="1153" t="s">
        <v>332</v>
      </c>
      <c r="S605" s="1153" t="s">
        <v>1854</v>
      </c>
      <c r="T605" s="1153" t="s">
        <v>334</v>
      </c>
    </row>
    <row r="606" spans="1:20" s="1153" customFormat="1" ht="15" hidden="1" customHeight="1">
      <c r="C606" s="1153" t="s">
        <v>1759</v>
      </c>
      <c r="D606" s="1153" t="s">
        <v>334</v>
      </c>
      <c r="S606" s="1153" t="s">
        <v>1855</v>
      </c>
      <c r="T606" s="1153" t="s">
        <v>332</v>
      </c>
    </row>
    <row r="607" spans="1:20" s="1153" customFormat="1" ht="15" hidden="1" customHeight="1">
      <c r="C607" s="1153" t="s">
        <v>1762</v>
      </c>
      <c r="D607" s="1153" t="s">
        <v>312</v>
      </c>
      <c r="S607" s="1153" t="s">
        <v>1856</v>
      </c>
      <c r="T607" s="1153" t="s">
        <v>332</v>
      </c>
    </row>
    <row r="608" spans="1:20" s="1153" customFormat="1" ht="15" hidden="1" customHeight="1">
      <c r="C608" s="1153" t="s">
        <v>1765</v>
      </c>
      <c r="D608" s="1153" t="s">
        <v>334</v>
      </c>
      <c r="S608" s="1153" t="s">
        <v>1857</v>
      </c>
      <c r="T608" s="1153" t="s">
        <v>333</v>
      </c>
    </row>
    <row r="609" spans="3:20" s="1153" customFormat="1" ht="15" hidden="1" customHeight="1">
      <c r="C609" s="1153" t="s">
        <v>1768</v>
      </c>
      <c r="D609" s="1153" t="s">
        <v>312</v>
      </c>
      <c r="S609" s="1153" t="s">
        <v>1858</v>
      </c>
      <c r="T609" s="1153" t="s">
        <v>312</v>
      </c>
    </row>
    <row r="610" spans="3:20" s="1153" customFormat="1" ht="15" hidden="1" customHeight="1">
      <c r="C610" s="1153" t="s">
        <v>1771</v>
      </c>
      <c r="D610" s="1153" t="s">
        <v>333</v>
      </c>
      <c r="S610" s="1153" t="s">
        <v>1859</v>
      </c>
      <c r="T610" s="1153" t="s">
        <v>332</v>
      </c>
    </row>
    <row r="611" spans="3:20" s="1153" customFormat="1" ht="15" hidden="1" customHeight="1">
      <c r="C611" s="1153" t="s">
        <v>1774</v>
      </c>
      <c r="D611" s="1153" t="s">
        <v>334</v>
      </c>
      <c r="S611" s="1153" t="s">
        <v>1860</v>
      </c>
      <c r="T611" s="1153" t="s">
        <v>312</v>
      </c>
    </row>
    <row r="612" spans="3:20" s="1153" customFormat="1" ht="15" hidden="1" customHeight="1">
      <c r="C612" s="1153" t="s">
        <v>1777</v>
      </c>
      <c r="D612" s="1153" t="s">
        <v>312</v>
      </c>
      <c r="S612" s="1153" t="s">
        <v>1861</v>
      </c>
      <c r="T612" s="1153" t="s">
        <v>333</v>
      </c>
    </row>
    <row r="613" spans="3:20" s="1153" customFormat="1" ht="15" hidden="1" customHeight="1">
      <c r="C613" s="1153" t="s">
        <v>1780</v>
      </c>
      <c r="D613" s="1153" t="s">
        <v>335</v>
      </c>
      <c r="S613" s="1153" t="s">
        <v>1862</v>
      </c>
      <c r="T613" s="1153" t="s">
        <v>333</v>
      </c>
    </row>
    <row r="614" spans="3:20" s="1153" customFormat="1" ht="15" hidden="1" customHeight="1">
      <c r="C614" s="1153" t="s">
        <v>1783</v>
      </c>
      <c r="D614" s="1153" t="s">
        <v>332</v>
      </c>
      <c r="S614" s="1153" t="s">
        <v>1863</v>
      </c>
      <c r="T614" s="1153" t="s">
        <v>333</v>
      </c>
    </row>
    <row r="615" spans="3:20" s="1153" customFormat="1" ht="15" hidden="1" customHeight="1">
      <c r="C615" s="1153" t="s">
        <v>1786</v>
      </c>
      <c r="D615" s="1153" t="s">
        <v>334</v>
      </c>
      <c r="S615" s="1153" t="s">
        <v>1864</v>
      </c>
      <c r="T615" s="1153" t="s">
        <v>333</v>
      </c>
    </row>
    <row r="616" spans="3:20" s="1153" customFormat="1" ht="15" hidden="1" customHeight="1">
      <c r="C616" s="1153" t="s">
        <v>1789</v>
      </c>
      <c r="D616" s="1153" t="s">
        <v>332</v>
      </c>
      <c r="S616" s="1153" t="s">
        <v>1865</v>
      </c>
      <c r="T616" s="1153" t="s">
        <v>332</v>
      </c>
    </row>
    <row r="617" spans="3:20" s="1153" customFormat="1" ht="15" hidden="1" customHeight="1">
      <c r="S617" s="1153" t="s">
        <v>1866</v>
      </c>
      <c r="T617" s="1153" t="s">
        <v>332</v>
      </c>
    </row>
    <row r="618" spans="3:20" s="1153" customFormat="1" ht="15" hidden="1" customHeight="1">
      <c r="S618" s="1153" t="s">
        <v>1867</v>
      </c>
      <c r="T618" s="1153" t="s">
        <v>334</v>
      </c>
    </row>
    <row r="619" spans="3:20" s="1153" customFormat="1" ht="15" hidden="1" customHeight="1">
      <c r="S619" s="1153" t="s">
        <v>1868</v>
      </c>
      <c r="T619" s="1153" t="s">
        <v>333</v>
      </c>
    </row>
    <row r="620" spans="3:20" s="1153" customFormat="1" ht="15" hidden="1" customHeight="1">
      <c r="S620" s="1153" t="s">
        <v>1869</v>
      </c>
      <c r="T620" s="1153" t="s">
        <v>333</v>
      </c>
    </row>
    <row r="621" spans="3:20" s="1153" customFormat="1" ht="15" hidden="1" customHeight="1">
      <c r="S621" s="1153" t="s">
        <v>1870</v>
      </c>
      <c r="T621" s="1153" t="s">
        <v>332</v>
      </c>
    </row>
    <row r="622" spans="3:20" s="1153" customFormat="1" ht="15" hidden="1" customHeight="1">
      <c r="S622" s="1153" t="s">
        <v>1871</v>
      </c>
      <c r="T622" s="1153" t="s">
        <v>334</v>
      </c>
    </row>
    <row r="623" spans="3:20" s="1153" customFormat="1" ht="15" hidden="1" customHeight="1">
      <c r="S623" s="1153" t="s">
        <v>1872</v>
      </c>
      <c r="T623" s="1153" t="s">
        <v>312</v>
      </c>
    </row>
    <row r="624" spans="3:20" s="1153" customFormat="1" ht="15" hidden="1" customHeight="1">
      <c r="S624" s="1153" t="s">
        <v>1873</v>
      </c>
      <c r="T624" s="1153" t="s">
        <v>333</v>
      </c>
    </row>
    <row r="625" spans="19:20" s="1153" customFormat="1" ht="15" hidden="1" customHeight="1">
      <c r="S625" s="1153" t="s">
        <v>1874</v>
      </c>
      <c r="T625" s="1153" t="s">
        <v>332</v>
      </c>
    </row>
    <row r="626" spans="19:20" s="1153" customFormat="1" ht="15" hidden="1" customHeight="1">
      <c r="S626" s="1153" t="s">
        <v>1875</v>
      </c>
      <c r="T626" s="1153" t="s">
        <v>332</v>
      </c>
    </row>
    <row r="627" spans="19:20" s="1153" customFormat="1" ht="15" hidden="1" customHeight="1">
      <c r="S627" s="1153" t="s">
        <v>1876</v>
      </c>
      <c r="T627" s="1153" t="s">
        <v>332</v>
      </c>
    </row>
    <row r="628" spans="19:20" s="1153" customFormat="1" ht="15" hidden="1" customHeight="1">
      <c r="S628" s="1153" t="s">
        <v>1877</v>
      </c>
      <c r="T628" s="1153" t="s">
        <v>312</v>
      </c>
    </row>
    <row r="629" spans="19:20" s="1153" customFormat="1" ht="15" hidden="1" customHeight="1">
      <c r="S629" s="1153" t="s">
        <v>1878</v>
      </c>
      <c r="T629" s="1153" t="s">
        <v>312</v>
      </c>
    </row>
    <row r="630" spans="19:20" s="1153" customFormat="1" ht="15" hidden="1" customHeight="1">
      <c r="S630" s="1153" t="s">
        <v>1879</v>
      </c>
      <c r="T630" s="1153" t="s">
        <v>333</v>
      </c>
    </row>
    <row r="631" spans="19:20" s="1153" customFormat="1" ht="15" hidden="1" customHeight="1">
      <c r="S631" s="1153" t="s">
        <v>1880</v>
      </c>
      <c r="T631" s="1153" t="s">
        <v>333</v>
      </c>
    </row>
    <row r="632" spans="19:20" s="1153" customFormat="1" ht="15" hidden="1" customHeight="1">
      <c r="S632" s="1153" t="s">
        <v>1881</v>
      </c>
      <c r="T632" s="1153" t="s">
        <v>312</v>
      </c>
    </row>
    <row r="633" spans="19:20" s="1153" customFormat="1" ht="15" hidden="1" customHeight="1">
      <c r="S633" s="1153" t="s">
        <v>1882</v>
      </c>
      <c r="T633" s="1153" t="s">
        <v>334</v>
      </c>
    </row>
    <row r="634" spans="19:20" s="1153" customFormat="1" ht="15" hidden="1" customHeight="1">
      <c r="S634" s="1153" t="s">
        <v>1883</v>
      </c>
      <c r="T634" s="1153" t="s">
        <v>333</v>
      </c>
    </row>
    <row r="635" spans="19:20" s="1153" customFormat="1" ht="15" hidden="1" customHeight="1">
      <c r="S635" s="1153" t="s">
        <v>1884</v>
      </c>
      <c r="T635" s="1153" t="s">
        <v>334</v>
      </c>
    </row>
    <row r="636" spans="19:20" s="1153" customFormat="1" ht="15" hidden="1" customHeight="1">
      <c r="S636" s="1153" t="s">
        <v>1885</v>
      </c>
      <c r="T636" s="1153" t="s">
        <v>334</v>
      </c>
    </row>
    <row r="637" spans="19:20" s="1153" customFormat="1" ht="15" hidden="1" customHeight="1">
      <c r="S637" s="1153" t="s">
        <v>1886</v>
      </c>
      <c r="T637" s="1153" t="s">
        <v>333</v>
      </c>
    </row>
    <row r="638" spans="19:20" s="1153" customFormat="1" ht="15" hidden="1" customHeight="1">
      <c r="S638" s="1153" t="s">
        <v>1887</v>
      </c>
      <c r="T638" s="1153" t="s">
        <v>333</v>
      </c>
    </row>
    <row r="639" spans="19:20" s="1153" customFormat="1" ht="15" hidden="1" customHeight="1">
      <c r="S639" s="1153" t="s">
        <v>1888</v>
      </c>
      <c r="T639" s="1153" t="s">
        <v>334</v>
      </c>
    </row>
    <row r="640" spans="19:20" s="1153" customFormat="1" ht="15" hidden="1" customHeight="1">
      <c r="S640" s="1153" t="s">
        <v>1889</v>
      </c>
      <c r="T640" s="1153" t="s">
        <v>332</v>
      </c>
    </row>
    <row r="641" spans="19:20" s="1153" customFormat="1" ht="15" hidden="1" customHeight="1">
      <c r="S641" s="1153" t="s">
        <v>1890</v>
      </c>
      <c r="T641" s="1153" t="s">
        <v>332</v>
      </c>
    </row>
    <row r="642" spans="19:20" s="1153" customFormat="1" ht="15" hidden="1" customHeight="1">
      <c r="S642" s="1153" t="s">
        <v>1891</v>
      </c>
      <c r="T642" s="1153" t="s">
        <v>312</v>
      </c>
    </row>
    <row r="643" spans="19:20" s="1153" customFormat="1" ht="15" hidden="1" customHeight="1">
      <c r="S643" s="1153" t="s">
        <v>1892</v>
      </c>
      <c r="T643" s="1153" t="s">
        <v>333</v>
      </c>
    </row>
    <row r="644" spans="19:20" s="1153" customFormat="1" ht="15" hidden="1" customHeight="1">
      <c r="S644" s="1153" t="s">
        <v>1893</v>
      </c>
      <c r="T644" s="1153" t="s">
        <v>312</v>
      </c>
    </row>
    <row r="645" spans="19:20" s="1153" customFormat="1" ht="15" hidden="1" customHeight="1">
      <c r="S645" s="1153" t="s">
        <v>1894</v>
      </c>
      <c r="T645" s="1153" t="s">
        <v>333</v>
      </c>
    </row>
    <row r="646" spans="19:20" s="1153" customFormat="1" ht="15" hidden="1" customHeight="1">
      <c r="S646" s="1153" t="s">
        <v>1895</v>
      </c>
      <c r="T646" s="1153" t="s">
        <v>312</v>
      </c>
    </row>
    <row r="647" spans="19:20" s="1153" customFormat="1" ht="15" hidden="1" customHeight="1">
      <c r="S647" s="1153" t="s">
        <v>1896</v>
      </c>
      <c r="T647" s="1153" t="s">
        <v>334</v>
      </c>
    </row>
    <row r="648" spans="19:20" s="1153" customFormat="1" ht="15" hidden="1" customHeight="1">
      <c r="S648" s="1153" t="s">
        <v>1897</v>
      </c>
      <c r="T648" s="1153" t="s">
        <v>312</v>
      </c>
    </row>
    <row r="649" spans="19:20" s="1153" customFormat="1" ht="15" hidden="1" customHeight="1">
      <c r="S649" s="1153" t="s">
        <v>1898</v>
      </c>
      <c r="T649" s="1153" t="s">
        <v>333</v>
      </c>
    </row>
    <row r="650" spans="19:20" s="1153" customFormat="1" ht="15" hidden="1" customHeight="1">
      <c r="S650" s="1153" t="s">
        <v>1899</v>
      </c>
      <c r="T650" s="1153" t="s">
        <v>333</v>
      </c>
    </row>
    <row r="651" spans="19:20" s="1153" customFormat="1" ht="15" hidden="1" customHeight="1">
      <c r="S651" s="1153" t="s">
        <v>1900</v>
      </c>
      <c r="T651" s="1153" t="s">
        <v>312</v>
      </c>
    </row>
    <row r="652" spans="19:20" s="1153" customFormat="1" ht="15" hidden="1" customHeight="1">
      <c r="S652" s="1153" t="s">
        <v>1901</v>
      </c>
      <c r="T652" s="1153" t="s">
        <v>332</v>
      </c>
    </row>
    <row r="653" spans="19:20" s="1153" customFormat="1" ht="15" hidden="1" customHeight="1">
      <c r="S653" s="1153" t="s">
        <v>1902</v>
      </c>
      <c r="T653" s="1153" t="s">
        <v>312</v>
      </c>
    </row>
    <row r="654" spans="19:20" s="1153" customFormat="1" ht="15" hidden="1" customHeight="1">
      <c r="S654" s="1153" t="s">
        <v>1903</v>
      </c>
      <c r="T654" s="1153" t="s">
        <v>333</v>
      </c>
    </row>
    <row r="655" spans="19:20" s="1153" customFormat="1" ht="15" hidden="1" customHeight="1">
      <c r="S655" s="1153" t="s">
        <v>1904</v>
      </c>
      <c r="T655" s="1153" t="s">
        <v>332</v>
      </c>
    </row>
    <row r="656" spans="19:20" s="1153" customFormat="1" ht="15" hidden="1" customHeight="1">
      <c r="S656" s="1153" t="s">
        <v>1905</v>
      </c>
      <c r="T656" s="1153" t="s">
        <v>333</v>
      </c>
    </row>
    <row r="657" spans="19:20" s="1153" customFormat="1" ht="15" hidden="1" customHeight="1">
      <c r="S657" s="1153" t="s">
        <v>1906</v>
      </c>
      <c r="T657" s="1153" t="s">
        <v>333</v>
      </c>
    </row>
    <row r="658" spans="19:20" s="1153" customFormat="1" ht="15" hidden="1" customHeight="1">
      <c r="S658" s="1153" t="s">
        <v>1907</v>
      </c>
      <c r="T658" s="1153" t="s">
        <v>332</v>
      </c>
    </row>
    <row r="659" spans="19:20" s="1153" customFormat="1" ht="15" hidden="1" customHeight="1">
      <c r="S659" s="1153" t="s">
        <v>1908</v>
      </c>
      <c r="T659" s="1153" t="s">
        <v>332</v>
      </c>
    </row>
    <row r="660" spans="19:20" s="1153" customFormat="1" ht="15" hidden="1" customHeight="1">
      <c r="S660" s="1153" t="s">
        <v>1909</v>
      </c>
      <c r="T660" s="1153" t="s">
        <v>332</v>
      </c>
    </row>
    <row r="661" spans="19:20" s="1153" customFormat="1" ht="15" hidden="1" customHeight="1">
      <c r="S661" s="1153" t="s">
        <v>1910</v>
      </c>
      <c r="T661" s="1153" t="s">
        <v>332</v>
      </c>
    </row>
    <row r="662" spans="19:20" s="1153" customFormat="1" ht="15" hidden="1" customHeight="1">
      <c r="S662" s="1153" t="s">
        <v>1911</v>
      </c>
      <c r="T662" s="1153" t="s">
        <v>333</v>
      </c>
    </row>
    <row r="663" spans="19:20" s="1153" customFormat="1" ht="15" hidden="1" customHeight="1">
      <c r="S663" s="1153" t="s">
        <v>1912</v>
      </c>
      <c r="T663" s="1153" t="s">
        <v>333</v>
      </c>
    </row>
    <row r="664" spans="19:20" s="1153" customFormat="1" ht="15" hidden="1" customHeight="1">
      <c r="S664" s="1153" t="s">
        <v>1913</v>
      </c>
      <c r="T664" s="1153" t="s">
        <v>332</v>
      </c>
    </row>
    <row r="665" spans="19:20" s="1153" customFormat="1" ht="15" hidden="1" customHeight="1">
      <c r="S665" s="1153" t="s">
        <v>1914</v>
      </c>
      <c r="T665" s="1153" t="s">
        <v>333</v>
      </c>
    </row>
    <row r="666" spans="19:20" s="1153" customFormat="1" ht="15" hidden="1" customHeight="1">
      <c r="S666" s="1153" t="s">
        <v>1915</v>
      </c>
      <c r="T666" s="1153" t="s">
        <v>334</v>
      </c>
    </row>
    <row r="667" spans="19:20" s="1153" customFormat="1" ht="15" hidden="1" customHeight="1">
      <c r="S667" s="1153" t="s">
        <v>1916</v>
      </c>
      <c r="T667" s="1153" t="s">
        <v>312</v>
      </c>
    </row>
    <row r="668" spans="19:20" s="1153" customFormat="1" ht="15" hidden="1" customHeight="1">
      <c r="S668" s="1153" t="s">
        <v>1917</v>
      </c>
      <c r="T668" s="1153" t="s">
        <v>333</v>
      </c>
    </row>
    <row r="669" spans="19:20" s="1153" customFormat="1" ht="15" hidden="1" customHeight="1">
      <c r="S669" s="1153" t="s">
        <v>1918</v>
      </c>
      <c r="T669" s="1153" t="s">
        <v>332</v>
      </c>
    </row>
    <row r="670" spans="19:20" s="1153" customFormat="1" ht="15" hidden="1" customHeight="1">
      <c r="S670" s="1153" t="s">
        <v>1919</v>
      </c>
      <c r="T670" s="1153" t="s">
        <v>332</v>
      </c>
    </row>
    <row r="671" spans="19:20" s="1153" customFormat="1" ht="15" hidden="1" customHeight="1">
      <c r="S671" s="1153" t="s">
        <v>1920</v>
      </c>
      <c r="T671" s="1153" t="s">
        <v>334</v>
      </c>
    </row>
    <row r="672" spans="19:20" s="1153" customFormat="1" ht="15" hidden="1" customHeight="1">
      <c r="S672" s="1153" t="s">
        <v>1921</v>
      </c>
      <c r="T672" s="1153" t="s">
        <v>332</v>
      </c>
    </row>
    <row r="673" spans="1:20" s="1153" customFormat="1" ht="15" hidden="1" customHeight="1">
      <c r="S673" s="1153" t="s">
        <v>1922</v>
      </c>
      <c r="T673" s="1153" t="s">
        <v>332</v>
      </c>
    </row>
    <row r="674" spans="1:20" s="1153" customFormat="1" ht="15" hidden="1" customHeight="1">
      <c r="S674" s="1153" t="s">
        <v>1923</v>
      </c>
      <c r="T674" s="1153" t="s">
        <v>312</v>
      </c>
    </row>
    <row r="675" spans="1:20" s="1153" customFormat="1" ht="15" hidden="1" customHeight="1">
      <c r="S675" s="1153" t="s">
        <v>1924</v>
      </c>
      <c r="T675" s="1153" t="s">
        <v>333</v>
      </c>
    </row>
    <row r="676" spans="1:20" s="1153" customFormat="1" ht="15" hidden="1" customHeight="1">
      <c r="S676" s="1153" t="s">
        <v>1925</v>
      </c>
      <c r="T676" s="1153" t="s">
        <v>333</v>
      </c>
    </row>
    <row r="677" spans="1:20" s="1153" customFormat="1" ht="15" hidden="1" customHeight="1">
      <c r="S677" s="1153" t="s">
        <v>1926</v>
      </c>
      <c r="T677" s="1153" t="s">
        <v>333</v>
      </c>
    </row>
    <row r="678" spans="1:20" s="1153" customFormat="1" ht="15" hidden="1" customHeight="1">
      <c r="S678" s="1153" t="s">
        <v>1928</v>
      </c>
      <c r="T678" s="1153" t="s">
        <v>333</v>
      </c>
    </row>
    <row r="679" spans="1:20" s="1153" customFormat="1" ht="15" hidden="1" customHeight="1">
      <c r="S679" s="1153" t="s">
        <v>1927</v>
      </c>
      <c r="T679" s="1153" t="s">
        <v>333</v>
      </c>
    </row>
    <row r="680" spans="1:20" s="1153" customFormat="1" ht="15" hidden="1" customHeight="1">
      <c r="S680" s="1153" t="s">
        <v>1929</v>
      </c>
      <c r="T680" s="1153" t="s">
        <v>333</v>
      </c>
    </row>
    <row r="681" spans="1:20" s="1153" customFormat="1" ht="15" hidden="1" customHeight="1">
      <c r="S681" s="1153" t="s">
        <v>1930</v>
      </c>
      <c r="T681" s="1153" t="s">
        <v>333</v>
      </c>
    </row>
    <row r="682" spans="1:20" ht="13.5" hidden="1">
      <c r="A682" s="1153"/>
      <c r="B682" s="1153"/>
    </row>
    <row r="683" spans="1:20" ht="13.5" hidden="1">
      <c r="A683" s="1159" t="str">
        <f>IF(AND(A324&gt;0,$D$251=1),INDEX(A324,1),IF(AND(C324&gt;0,$D$251=2),INDEX(C324,1),IF(AND(E324&gt;0,$D$251=3),INDEX(E324,1),IF(AND(G324&gt;0,$D$251=4),INDEX(G324,1),IF(AND(I324&gt;0,$D$251=5),INDEX(I324,1),IF(AND(K324&gt;0,$D$251=6),INDEX(K324,1),IF(AND(M324&gt;0,$D$251=7),INDEX(M324,1),IF(AND(O324&gt;0,$D$251=8),INDEX(O324,1),IF(AND(Q324&gt;0,$D$251=9),INDEX(Q324,1),IF(AND(S324&gt;0,$D$251=10),INDEX(S324,1),IF(AND(U324&gt;0,$D$251=11),INDEX(U324,1),IF(AND(W324&gt;0,$D$251=12),INDEX(W324,1),IF(AND(Y324&gt;0,$D$251=13),INDEX(Y324,1),IF(AND(AA324&gt;0,$D$251=14),INDEX(AA324,1),IF(AND(AC324&gt;0,$D$251=15),INDEX(AC324,1),IF(AND(AE324&gt;0,$D$251=16),INDEX(AE324,1),0))))))))))))))))</f>
        <v>Aachen, Stadt</v>
      </c>
      <c r="B683" s="1159" t="str">
        <f>IF(AND(B324&gt;0,$D$251=1),INDEX(B324,1),IF(AND(D324&gt;0,$D$251=2),INDEX(D324,1),IF(AND(F324&gt;0,$D$251=3),INDEX(F324,1),IF(AND(H324&gt;0,$D$251=4),INDEX(H324,1),IF(AND(J324&gt;0,$D$251=5),INDEX(J324,1),IF(AND(L324&gt;0,$D$251=6),INDEX(L324,1),IF(AND(N324&gt;0,$D$251=7),INDEX(N324,1),IF(AND(P324&gt;0,$D$251=8),INDEX(P324,1),IF(AND(R324&gt;0,$D$251=9),INDEX(R324,1),IF(AND(T324&gt;0,$D$251=10),INDEX(T324,1),IF(AND(V324&gt;0,$D$251=11),INDEX(V324,1),IF(AND(X324&gt;0,$D$251=12),INDEX(X324,1),IF(AND(Z324&gt;0,$D$251=13),INDEX(Z324,1),IF(AND(AB324&gt;0,$D$251=14),INDEX(AB324,1),IF(AND(AD324&gt;0,$D$251=15),INDEX(AD324,1),IF(AND(AF324&gt;0,$D$251=16),INDEX(AF324,1),0))))))))))))))))</f>
        <v>IV</v>
      </c>
      <c r="C683" s="1160"/>
      <c r="D683" s="1161"/>
      <c r="E683" s="1162"/>
    </row>
    <row r="684" spans="1:20" ht="13.5" hidden="1">
      <c r="A684" s="1159" t="str">
        <f t="shared" ref="A684:A747" si="104">IF(AND(A325&gt;0,$D$251=1),INDEX(A325,1),IF(AND(C325&gt;0,$D$251=2),INDEX(C325,1),IF(AND(E325&gt;0,$D$251=3),INDEX(E325,1),IF(AND(G325&gt;0,$D$251=4),INDEX(G325,1),IF(AND(I325&gt;0,$D$251=5),INDEX(I325,1),IF(AND(K325&gt;0,$D$251=6),INDEX(K325,1),IF(AND(M325&gt;0,$D$251=7),INDEX(M325,1),IF(AND(O325&gt;0,$D$251=8),INDEX(O325,1),IF(AND(Q325&gt;0,$D$251=9),INDEX(Q325,1),IF(AND(S325&gt;0,$D$251=10),INDEX(S325,1),IF(AND(U325&gt;0,$D$251=11),INDEX(U325,1),IF(AND(W325&gt;0,$D$251=12),INDEX(W325,1),IF(AND(Y325&gt;0,$D$251=13),INDEX(Y325,1),IF(AND(AA325&gt;0,$D$251=14),INDEX(AA325,1),IF(AND(AC325&gt;0,$D$251=15),INDEX(AC325,1),IF(AND(AE325&gt;0,$D$251=16),INDEX(AE325,1),0))))))))))))))))</f>
        <v>Ahaus, Stadt</v>
      </c>
      <c r="B684" s="1159" t="str">
        <f>IF(AND(B325&gt;0,$D$251=1),INDEX(B325,1),IF(AND(D325&gt;0,$D$251=2),INDEX(D325,1),IF(AND(F325&gt;0,$D$251=3),INDEX(F325,1),IF(AND(H325&gt;0,$D$251=4),INDEX(H325,1),IF(AND(J325&gt;0,$D$251=5),INDEX(J325,1),IF(AND(L325&gt;0,$D$251=6),INDEX(L325,1),IF(AND(N325&gt;0,$D$251=7),INDEX(N325,1),IF(AND(P325&gt;0,$D$251=8),INDEX(P325,1),IF(AND(R325&gt;0,$D$251=9),INDEX(R325,1),IF(AND(T325&gt;0,$D$251=10),INDEX(T325,1),IF(AND(V325&gt;0,$D$251=11),INDEX(V325,1),IF(AND(X325&gt;0,$D$251=12),INDEX(X325,1),IF(AND(Z325&gt;0,$D$251=13),INDEX(Z325,1),IF(AND(AB325&gt;0,$D$251=14),INDEX(AB325,1),IF(AND(AD325&gt;0,$D$251=15),INDEX(AD325,1),IF(AND(AF325&gt;0,$D$251=16),INDEX(AF325,1),0))))))))))))))))</f>
        <v>II</v>
      </c>
      <c r="C684" s="1160"/>
      <c r="D684" s="1161"/>
      <c r="E684" s="1162"/>
    </row>
    <row r="685" spans="1:20" ht="13.5" hidden="1">
      <c r="A685" s="1159" t="str">
        <f t="shared" si="104"/>
        <v>Ahlen, Stadt</v>
      </c>
      <c r="B685" s="1159" t="str">
        <f t="shared" ref="B685:B748" si="105">IF(AND(B326&gt;0,$D$251=1),INDEX(B326,1),IF(AND(D326&gt;0,$D$251=2),INDEX(D326,1),IF(AND(F326&gt;0,$D$251=3),INDEX(F326,1),IF(AND(H326&gt;0,$D$251=4),INDEX(H326,1),IF(AND(J326&gt;0,$D$251=5),INDEX(J326,1),IF(AND(L326&gt;0,$D$251=6),INDEX(L326,1),IF(AND(N326&gt;0,$D$251=7),INDEX(N326,1),IF(AND(P326&gt;0,$D$251=8),INDEX(P326,1),IF(AND(R326&gt;0,$D$251=9),INDEX(R326,1),IF(AND(T326&gt;0,$D$251=10),INDEX(T326,1),IF(AND(V326&gt;0,$D$251=11),INDEX(V326,1),IF(AND(X326&gt;0,$D$251=12),INDEX(X326,1),IF(AND(Z326&gt;0,$D$251=13),INDEX(Z326,1),IF(AND(AB326&gt;0,$D$251=14),INDEX(AB326,1),IF(AND(AD326&gt;0,$D$251=15),INDEX(AD326,1),IF(AND(AF326&gt;0,$D$251=16),INDEX(AF326,1),0))))))))))))))))</f>
        <v>II</v>
      </c>
      <c r="C685" s="1160"/>
      <c r="D685" s="1161"/>
      <c r="E685" s="1162"/>
    </row>
    <row r="686" spans="1:20" ht="13.5" hidden="1">
      <c r="A686" s="1159" t="str">
        <f t="shared" si="104"/>
        <v>Aldenhoven</v>
      </c>
      <c r="B686" s="1159" t="str">
        <f t="shared" si="105"/>
        <v>III</v>
      </c>
      <c r="C686" s="1160"/>
      <c r="D686" s="1161"/>
      <c r="E686" s="1162"/>
    </row>
    <row r="687" spans="1:20" ht="13.5" hidden="1">
      <c r="A687" s="1159" t="str">
        <f t="shared" si="104"/>
        <v>Alfter</v>
      </c>
      <c r="B687" s="1159" t="str">
        <f t="shared" si="105"/>
        <v>IV</v>
      </c>
      <c r="C687" s="1160"/>
      <c r="D687" s="1161"/>
      <c r="E687" s="1162"/>
    </row>
    <row r="688" spans="1:20" ht="13.5" hidden="1">
      <c r="A688" s="1159" t="str">
        <f t="shared" si="104"/>
        <v>Alpen</v>
      </c>
      <c r="B688" s="1159" t="str">
        <f t="shared" si="105"/>
        <v>II</v>
      </c>
      <c r="C688" s="1160"/>
      <c r="D688" s="1161"/>
      <c r="E688" s="1162"/>
    </row>
    <row r="689" spans="1:5" ht="13.5" hidden="1">
      <c r="A689" s="1159" t="str">
        <f t="shared" si="104"/>
        <v>Alsdorf, Stadt</v>
      </c>
      <c r="B689" s="1159" t="str">
        <f t="shared" si="105"/>
        <v>III</v>
      </c>
      <c r="C689" s="1160"/>
      <c r="D689" s="1161"/>
      <c r="E689" s="1162"/>
    </row>
    <row r="690" spans="1:5" ht="13.5" hidden="1">
      <c r="A690" s="1159" t="str">
        <f t="shared" si="104"/>
        <v>Altena, Stadt</v>
      </c>
      <c r="B690" s="1159" t="str">
        <f t="shared" si="105"/>
        <v>I</v>
      </c>
      <c r="C690" s="1160"/>
      <c r="D690" s="1161"/>
      <c r="E690" s="1162"/>
    </row>
    <row r="691" spans="1:5" ht="13.5" hidden="1">
      <c r="A691" s="1159" t="str">
        <f t="shared" si="104"/>
        <v>Altenberge</v>
      </c>
      <c r="B691" s="1159" t="str">
        <f t="shared" si="105"/>
        <v>III</v>
      </c>
      <c r="C691" s="1160"/>
      <c r="D691" s="1161"/>
      <c r="E691" s="1162"/>
    </row>
    <row r="692" spans="1:5" ht="13.5" hidden="1">
      <c r="A692" s="1159" t="str">
        <f t="shared" si="104"/>
        <v>Anröchte</v>
      </c>
      <c r="B692" s="1159" t="str">
        <f t="shared" si="105"/>
        <v>I</v>
      </c>
      <c r="C692" s="1160"/>
      <c r="D692" s="1161"/>
      <c r="E692" s="1162"/>
    </row>
    <row r="693" spans="1:5" ht="13.5" hidden="1">
      <c r="A693" s="1159" t="str">
        <f t="shared" si="104"/>
        <v>Arnsberg, Stadt</v>
      </c>
      <c r="B693" s="1159" t="str">
        <f t="shared" si="105"/>
        <v>II</v>
      </c>
      <c r="C693" s="1160"/>
      <c r="D693" s="1161"/>
      <c r="E693" s="1162"/>
    </row>
    <row r="694" spans="1:5" ht="13.5" hidden="1">
      <c r="A694" s="1159" t="str">
        <f t="shared" si="104"/>
        <v>Ascheberg</v>
      </c>
      <c r="B694" s="1159" t="str">
        <f t="shared" si="105"/>
        <v>II</v>
      </c>
      <c r="C694" s="1160"/>
      <c r="D694" s="1161"/>
      <c r="E694" s="1162"/>
    </row>
    <row r="695" spans="1:5" ht="13.5" hidden="1">
      <c r="A695" s="1159" t="str">
        <f t="shared" si="104"/>
        <v>Attendorn, Stadt</v>
      </c>
      <c r="B695" s="1159" t="str">
        <f t="shared" si="105"/>
        <v>II</v>
      </c>
      <c r="C695" s="1160"/>
      <c r="D695" s="1161"/>
      <c r="E695" s="1162"/>
    </row>
    <row r="696" spans="1:5" ht="13.5" hidden="1">
      <c r="A696" s="1159" t="str">
        <f t="shared" si="104"/>
        <v>Bad Berleburg, Stadt</v>
      </c>
      <c r="B696" s="1159" t="str">
        <f t="shared" si="105"/>
        <v>II</v>
      </c>
      <c r="C696" s="1160"/>
      <c r="D696" s="1161"/>
      <c r="E696" s="1162"/>
    </row>
    <row r="697" spans="1:5" ht="13.5" hidden="1">
      <c r="A697" s="1159" t="str">
        <f t="shared" si="104"/>
        <v>Bad Driburg, Stadt</v>
      </c>
      <c r="B697" s="1159" t="str">
        <f t="shared" si="105"/>
        <v>I</v>
      </c>
      <c r="C697" s="1160"/>
      <c r="D697" s="1161"/>
      <c r="E697" s="1162"/>
    </row>
    <row r="698" spans="1:5" ht="13.5" hidden="1">
      <c r="A698" s="1159" t="str">
        <f t="shared" si="104"/>
        <v>Bad Honnef, Stadt</v>
      </c>
      <c r="B698" s="1159" t="str">
        <f t="shared" si="105"/>
        <v>IV</v>
      </c>
      <c r="C698" s="1160"/>
      <c r="D698" s="1161"/>
      <c r="E698" s="1162"/>
    </row>
    <row r="699" spans="1:5" ht="13.5" hidden="1">
      <c r="A699" s="1159" t="str">
        <f t="shared" si="104"/>
        <v>Bad Laasphe, Stadt</v>
      </c>
      <c r="B699" s="1159" t="str">
        <f t="shared" si="105"/>
        <v>II</v>
      </c>
      <c r="C699" s="1160"/>
      <c r="D699" s="1161"/>
      <c r="E699" s="1162"/>
    </row>
    <row r="700" spans="1:5" ht="13.5" hidden="1">
      <c r="A700" s="1159" t="str">
        <f t="shared" si="104"/>
        <v>Bad Lippspringe, Stadt</v>
      </c>
      <c r="B700" s="1159" t="str">
        <f t="shared" si="105"/>
        <v>II</v>
      </c>
      <c r="C700" s="1160"/>
      <c r="D700" s="1161"/>
      <c r="E700" s="1162"/>
    </row>
    <row r="701" spans="1:5" ht="13.5" hidden="1">
      <c r="A701" s="1159" t="str">
        <f t="shared" si="104"/>
        <v>Bad Münstereifel, Stadt</v>
      </c>
      <c r="B701" s="1159" t="str">
        <f t="shared" si="105"/>
        <v>II</v>
      </c>
      <c r="C701" s="1160"/>
      <c r="D701" s="1161"/>
      <c r="E701" s="1162"/>
    </row>
    <row r="702" spans="1:5" ht="13.5" hidden="1">
      <c r="A702" s="1159" t="str">
        <f t="shared" si="104"/>
        <v>Bad Oeynhausen, Stadt</v>
      </c>
      <c r="B702" s="1159" t="str">
        <f t="shared" si="105"/>
        <v>II</v>
      </c>
      <c r="C702" s="1160"/>
      <c r="D702" s="1161"/>
      <c r="E702" s="1162"/>
    </row>
    <row r="703" spans="1:5" ht="13.5" hidden="1">
      <c r="A703" s="1159" t="str">
        <f t="shared" si="104"/>
        <v>Bad Salzuflen, Stadt</v>
      </c>
      <c r="B703" s="1159" t="str">
        <f t="shared" si="105"/>
        <v>II</v>
      </c>
      <c r="C703" s="1160"/>
      <c r="D703" s="1161"/>
      <c r="E703" s="1162"/>
    </row>
    <row r="704" spans="1:5" ht="13.5" hidden="1">
      <c r="A704" s="1159" t="str">
        <f t="shared" si="104"/>
        <v>Bad Sassendorf</v>
      </c>
      <c r="B704" s="1159" t="str">
        <f t="shared" si="105"/>
        <v>II</v>
      </c>
      <c r="C704" s="1160"/>
      <c r="D704" s="1161"/>
      <c r="E704" s="1162"/>
    </row>
    <row r="705" spans="1:5" ht="13.5" hidden="1">
      <c r="A705" s="1159" t="str">
        <f t="shared" si="104"/>
        <v>Bad Wünnenberg, Stadt</v>
      </c>
      <c r="B705" s="1159" t="str">
        <f t="shared" si="105"/>
        <v>I</v>
      </c>
      <c r="C705" s="1160"/>
      <c r="D705" s="1161"/>
      <c r="E705" s="1162"/>
    </row>
    <row r="706" spans="1:5" ht="13.5" hidden="1">
      <c r="A706" s="1159" t="str">
        <f t="shared" si="104"/>
        <v>Baesweiler, Stadt</v>
      </c>
      <c r="B706" s="1159" t="str">
        <f t="shared" si="105"/>
        <v>II</v>
      </c>
      <c r="C706" s="1160"/>
      <c r="D706" s="1161"/>
      <c r="E706" s="1162"/>
    </row>
    <row r="707" spans="1:5" ht="13.5" hidden="1">
      <c r="A707" s="1159" t="str">
        <f t="shared" si="104"/>
        <v>Balve, Stadt</v>
      </c>
      <c r="B707" s="1159" t="str">
        <f t="shared" si="105"/>
        <v>II</v>
      </c>
      <c r="C707" s="1160"/>
      <c r="D707" s="1161"/>
      <c r="E707" s="1162"/>
    </row>
    <row r="708" spans="1:5" ht="13.5" hidden="1">
      <c r="A708" s="1159" t="str">
        <f t="shared" si="104"/>
        <v>Beckum, Stadt</v>
      </c>
      <c r="B708" s="1159" t="str">
        <f t="shared" si="105"/>
        <v>II</v>
      </c>
      <c r="C708" s="1160"/>
      <c r="D708" s="1161"/>
      <c r="E708" s="1162"/>
    </row>
    <row r="709" spans="1:5" ht="13.5" hidden="1">
      <c r="A709" s="1159" t="str">
        <f t="shared" si="104"/>
        <v>Bedburg, Stadt</v>
      </c>
      <c r="B709" s="1159" t="str">
        <f t="shared" si="105"/>
        <v>III</v>
      </c>
      <c r="C709" s="1160"/>
      <c r="D709" s="1161"/>
      <c r="E709" s="1162"/>
    </row>
    <row r="710" spans="1:5" ht="13.5" hidden="1">
      <c r="A710" s="1159" t="str">
        <f t="shared" si="104"/>
        <v>Bedburg-Hau</v>
      </c>
      <c r="B710" s="1159" t="str">
        <f t="shared" si="105"/>
        <v>II</v>
      </c>
      <c r="C710" s="1160"/>
      <c r="D710" s="1161"/>
      <c r="E710" s="1162"/>
    </row>
    <row r="711" spans="1:5" ht="13.5" hidden="1">
      <c r="A711" s="1159" t="str">
        <f t="shared" si="104"/>
        <v>Bergheim, Stadt</v>
      </c>
      <c r="B711" s="1159" t="str">
        <f t="shared" si="105"/>
        <v>III</v>
      </c>
      <c r="C711" s="1160"/>
      <c r="D711" s="1161"/>
      <c r="E711" s="1162"/>
    </row>
    <row r="712" spans="1:5" ht="13.5" hidden="1">
      <c r="A712" s="1159" t="str">
        <f t="shared" si="104"/>
        <v>Bergisch-Gladbach, Stadt</v>
      </c>
      <c r="B712" s="1159" t="str">
        <f t="shared" si="105"/>
        <v>V</v>
      </c>
      <c r="C712" s="1160"/>
      <c r="D712" s="1161"/>
      <c r="E712" s="1162"/>
    </row>
    <row r="713" spans="1:5" ht="13.5" hidden="1">
      <c r="A713" s="1159" t="str">
        <f t="shared" si="104"/>
        <v>Bergkamen, Stadt</v>
      </c>
      <c r="B713" s="1159" t="str">
        <f t="shared" si="105"/>
        <v>III</v>
      </c>
      <c r="C713" s="1160"/>
      <c r="D713" s="1161"/>
      <c r="E713" s="1162"/>
    </row>
    <row r="714" spans="1:5" ht="13.5" hidden="1">
      <c r="A714" s="1159" t="str">
        <f t="shared" si="104"/>
        <v>Bergneustadt, Stadt</v>
      </c>
      <c r="B714" s="1159" t="str">
        <f t="shared" si="105"/>
        <v>II</v>
      </c>
      <c r="C714" s="1160"/>
      <c r="D714" s="1161"/>
      <c r="E714" s="1162"/>
    </row>
    <row r="715" spans="1:5" ht="13.5" hidden="1">
      <c r="A715" s="1159" t="str">
        <f t="shared" si="104"/>
        <v>Bestwig</v>
      </c>
      <c r="B715" s="1159" t="str">
        <f t="shared" si="105"/>
        <v>I</v>
      </c>
      <c r="C715" s="1160"/>
      <c r="D715" s="1161"/>
      <c r="E715" s="1162"/>
    </row>
    <row r="716" spans="1:5" ht="13.5" hidden="1">
      <c r="A716" s="1159" t="str">
        <f t="shared" si="104"/>
        <v>Beverungen, Stadt</v>
      </c>
      <c r="B716" s="1159" t="str">
        <f t="shared" si="105"/>
        <v>I</v>
      </c>
      <c r="C716" s="1160"/>
      <c r="D716" s="1161"/>
      <c r="E716" s="1162"/>
    </row>
    <row r="717" spans="1:5" ht="13.5" hidden="1">
      <c r="A717" s="1159" t="str">
        <f t="shared" si="104"/>
        <v>Bielefeld, Stadt</v>
      </c>
      <c r="B717" s="1159" t="str">
        <f t="shared" si="105"/>
        <v>III</v>
      </c>
      <c r="C717" s="1160"/>
      <c r="D717" s="1161"/>
      <c r="E717" s="1162"/>
    </row>
    <row r="718" spans="1:5" ht="13.5" hidden="1">
      <c r="A718" s="1159" t="str">
        <f t="shared" si="104"/>
        <v>Billerbeck, Stadt</v>
      </c>
      <c r="B718" s="1159" t="str">
        <f t="shared" si="105"/>
        <v>II</v>
      </c>
      <c r="C718" s="1160"/>
      <c r="D718" s="1161"/>
      <c r="E718" s="1162"/>
    </row>
    <row r="719" spans="1:5" ht="13.5" hidden="1">
      <c r="A719" s="1159" t="str">
        <f t="shared" si="104"/>
        <v>Blomberg, Stadt</v>
      </c>
      <c r="B719" s="1159" t="str">
        <f t="shared" si="105"/>
        <v>I</v>
      </c>
      <c r="C719" s="1160"/>
      <c r="D719" s="1161"/>
      <c r="E719" s="1162"/>
    </row>
    <row r="720" spans="1:5" ht="13.5" hidden="1">
      <c r="A720" s="1159" t="str">
        <f t="shared" si="104"/>
        <v>Bocholt, Stadt</v>
      </c>
      <c r="B720" s="1159" t="str">
        <f t="shared" si="105"/>
        <v>III</v>
      </c>
      <c r="C720" s="1160"/>
      <c r="D720" s="1161"/>
      <c r="E720" s="1162"/>
    </row>
    <row r="721" spans="1:5" ht="13.5" hidden="1">
      <c r="A721" s="1159" t="str">
        <f t="shared" si="104"/>
        <v>Bochum, Stadt</v>
      </c>
      <c r="B721" s="1159" t="str">
        <f t="shared" si="105"/>
        <v>III</v>
      </c>
      <c r="C721" s="1160"/>
      <c r="D721" s="1161"/>
      <c r="E721" s="1162"/>
    </row>
    <row r="722" spans="1:5" ht="13.5" hidden="1">
      <c r="A722" s="1159" t="str">
        <f t="shared" si="104"/>
        <v>Bönen</v>
      </c>
      <c r="B722" s="1159" t="str">
        <f t="shared" si="105"/>
        <v>III</v>
      </c>
      <c r="C722" s="1160"/>
      <c r="D722" s="1161"/>
      <c r="E722" s="1162"/>
    </row>
    <row r="723" spans="1:5" ht="13.5" hidden="1">
      <c r="A723" s="1159" t="str">
        <f t="shared" si="104"/>
        <v>Bonn, Stadt</v>
      </c>
      <c r="B723" s="1159" t="str">
        <f t="shared" si="105"/>
        <v>V</v>
      </c>
      <c r="C723" s="1160"/>
      <c r="D723" s="1161"/>
      <c r="E723" s="1162"/>
    </row>
    <row r="724" spans="1:5" ht="13.5" hidden="1">
      <c r="A724" s="1159" t="str">
        <f t="shared" si="104"/>
        <v>Borchen</v>
      </c>
      <c r="B724" s="1159" t="str">
        <f t="shared" si="105"/>
        <v>II</v>
      </c>
      <c r="C724" s="1160"/>
      <c r="D724" s="1161"/>
      <c r="E724" s="1162"/>
    </row>
    <row r="725" spans="1:5" ht="13.5" hidden="1">
      <c r="A725" s="1159" t="str">
        <f t="shared" si="104"/>
        <v>Borken, Stadt</v>
      </c>
      <c r="B725" s="1159" t="str">
        <f t="shared" si="105"/>
        <v>II</v>
      </c>
      <c r="C725" s="1160"/>
      <c r="D725" s="1161"/>
      <c r="E725" s="1162"/>
    </row>
    <row r="726" spans="1:5" ht="13.5" hidden="1">
      <c r="A726" s="1159" t="str">
        <f t="shared" si="104"/>
        <v>Bornheim, Stadt</v>
      </c>
      <c r="B726" s="1159" t="str">
        <f t="shared" si="105"/>
        <v>IV</v>
      </c>
      <c r="C726" s="1160"/>
      <c r="D726" s="1161"/>
      <c r="E726" s="1162"/>
    </row>
    <row r="727" spans="1:5" ht="13.5" hidden="1">
      <c r="A727" s="1159" t="str">
        <f t="shared" si="104"/>
        <v>Bottrop, Stadt</v>
      </c>
      <c r="B727" s="1159" t="str">
        <f t="shared" si="105"/>
        <v>III</v>
      </c>
      <c r="C727" s="1160"/>
      <c r="D727" s="1161"/>
      <c r="E727" s="1162"/>
    </row>
    <row r="728" spans="1:5" ht="13.5" hidden="1">
      <c r="A728" s="1159" t="str">
        <f t="shared" si="104"/>
        <v>Brakel, Stadt</v>
      </c>
      <c r="B728" s="1159" t="str">
        <f t="shared" si="105"/>
        <v>I</v>
      </c>
      <c r="C728" s="1160"/>
      <c r="D728" s="1161"/>
      <c r="E728" s="1162"/>
    </row>
    <row r="729" spans="1:5" ht="13.5" hidden="1">
      <c r="A729" s="1159" t="str">
        <f t="shared" si="104"/>
        <v>Brilon, Stadt</v>
      </c>
      <c r="B729" s="1159" t="str">
        <f t="shared" si="105"/>
        <v>I</v>
      </c>
      <c r="C729" s="1160"/>
      <c r="D729" s="1161"/>
      <c r="E729" s="1162"/>
    </row>
    <row r="730" spans="1:5" ht="13.5" hidden="1">
      <c r="A730" s="1159" t="str">
        <f t="shared" si="104"/>
        <v>Brüggen</v>
      </c>
      <c r="B730" s="1159" t="str">
        <f t="shared" si="105"/>
        <v>II</v>
      </c>
      <c r="C730" s="1160"/>
      <c r="D730" s="1161"/>
      <c r="E730" s="1162"/>
    </row>
    <row r="731" spans="1:5" ht="13.5" hidden="1">
      <c r="A731" s="1159" t="str">
        <f t="shared" si="104"/>
        <v>Brühl, Stadt</v>
      </c>
      <c r="B731" s="1159" t="str">
        <f t="shared" si="105"/>
        <v>V</v>
      </c>
      <c r="C731" s="1160"/>
      <c r="D731" s="1161"/>
      <c r="E731" s="1162"/>
    </row>
    <row r="732" spans="1:5" ht="13.5" hidden="1">
      <c r="A732" s="1159" t="str">
        <f t="shared" si="104"/>
        <v>Bünde, Stadt</v>
      </c>
      <c r="B732" s="1159" t="str">
        <f t="shared" si="105"/>
        <v>II</v>
      </c>
      <c r="C732" s="1160"/>
      <c r="D732" s="1161"/>
      <c r="E732" s="1162"/>
    </row>
    <row r="733" spans="1:5" ht="13.5" hidden="1">
      <c r="A733" s="1159" t="str">
        <f t="shared" si="104"/>
        <v>Burbach</v>
      </c>
      <c r="B733" s="1159" t="str">
        <f t="shared" si="105"/>
        <v>II</v>
      </c>
      <c r="C733" s="1160"/>
      <c r="D733" s="1161"/>
      <c r="E733" s="1162"/>
    </row>
    <row r="734" spans="1:5" ht="13.5" hidden="1">
      <c r="A734" s="1159" t="str">
        <f t="shared" si="104"/>
        <v>Büren, Stadt</v>
      </c>
      <c r="B734" s="1159" t="str">
        <f t="shared" si="105"/>
        <v>I</v>
      </c>
      <c r="C734" s="1160"/>
      <c r="D734" s="1161"/>
      <c r="E734" s="1162"/>
    </row>
    <row r="735" spans="1:5" ht="13.5" hidden="1">
      <c r="A735" s="1159" t="str">
        <f t="shared" si="104"/>
        <v>Burscheid, Stadt</v>
      </c>
      <c r="B735" s="1159" t="str">
        <f t="shared" si="105"/>
        <v>IV</v>
      </c>
      <c r="C735" s="1160"/>
      <c r="D735" s="1161"/>
      <c r="E735" s="1162"/>
    </row>
    <row r="736" spans="1:5" ht="13.5" hidden="1">
      <c r="A736" s="1159" t="str">
        <f t="shared" si="104"/>
        <v>Castrop-Rauxel, Stadt</v>
      </c>
      <c r="B736" s="1159" t="str">
        <f t="shared" si="105"/>
        <v>III</v>
      </c>
      <c r="C736" s="1160"/>
      <c r="D736" s="1161"/>
      <c r="E736" s="1162"/>
    </row>
    <row r="737" spans="1:5" ht="13.5" hidden="1">
      <c r="A737" s="1159" t="str">
        <f t="shared" si="104"/>
        <v>Coesfeld, Stadt</v>
      </c>
      <c r="B737" s="1159" t="str">
        <f t="shared" si="105"/>
        <v>II</v>
      </c>
      <c r="C737" s="1160"/>
      <c r="D737" s="1161"/>
      <c r="E737" s="1162"/>
    </row>
    <row r="738" spans="1:5" ht="13.5" hidden="1">
      <c r="A738" s="1159" t="str">
        <f t="shared" si="104"/>
        <v>Datteln, Stadt</v>
      </c>
      <c r="B738" s="1159" t="str">
        <f t="shared" si="105"/>
        <v>II</v>
      </c>
      <c r="C738" s="1160"/>
      <c r="D738" s="1161"/>
      <c r="E738" s="1162"/>
    </row>
    <row r="739" spans="1:5" ht="13.5" hidden="1">
      <c r="A739" s="1159" t="str">
        <f t="shared" si="104"/>
        <v>Delbrück, Stadt</v>
      </c>
      <c r="B739" s="1159" t="str">
        <f t="shared" si="105"/>
        <v>I</v>
      </c>
      <c r="C739" s="1160"/>
      <c r="D739" s="1161"/>
      <c r="E739" s="1162"/>
    </row>
    <row r="740" spans="1:5" ht="13.5" hidden="1">
      <c r="A740" s="1159" t="str">
        <f t="shared" si="104"/>
        <v>Detmold, Stadt</v>
      </c>
      <c r="B740" s="1159" t="str">
        <f t="shared" si="105"/>
        <v>III</v>
      </c>
      <c r="C740" s="1160"/>
      <c r="D740" s="1161"/>
      <c r="E740" s="1162"/>
    </row>
    <row r="741" spans="1:5" ht="13.5" hidden="1">
      <c r="A741" s="1159" t="str">
        <f t="shared" si="104"/>
        <v>Dinslaken, Stadt</v>
      </c>
      <c r="B741" s="1159" t="str">
        <f t="shared" si="105"/>
        <v>III</v>
      </c>
      <c r="C741" s="1160"/>
      <c r="D741" s="1161"/>
      <c r="E741" s="1162"/>
    </row>
    <row r="742" spans="1:5" ht="13.5" hidden="1">
      <c r="A742" s="1159" t="str">
        <f t="shared" si="104"/>
        <v>Dormagen, Stadt</v>
      </c>
      <c r="B742" s="1159" t="str">
        <f t="shared" si="105"/>
        <v>IV</v>
      </c>
      <c r="C742" s="1160"/>
      <c r="D742" s="1161"/>
      <c r="E742" s="1162"/>
    </row>
    <row r="743" spans="1:5" ht="13.5" hidden="1">
      <c r="A743" s="1159" t="str">
        <f t="shared" si="104"/>
        <v>Dorsten, Stadt</v>
      </c>
      <c r="B743" s="1159" t="str">
        <f t="shared" si="105"/>
        <v>III</v>
      </c>
      <c r="C743" s="1160"/>
      <c r="D743" s="1161"/>
      <c r="E743" s="1162"/>
    </row>
    <row r="744" spans="1:5" ht="13.5" hidden="1">
      <c r="A744" s="1159" t="str">
        <f t="shared" si="104"/>
        <v>Dortmund, Stadt</v>
      </c>
      <c r="B744" s="1159" t="str">
        <f t="shared" si="105"/>
        <v>III</v>
      </c>
      <c r="C744" s="1160"/>
      <c r="D744" s="1161"/>
      <c r="E744" s="1162"/>
    </row>
    <row r="745" spans="1:5" ht="13.5" hidden="1">
      <c r="A745" s="1159" t="str">
        <f t="shared" si="104"/>
        <v>Drensteinfurt, Stadt</v>
      </c>
      <c r="B745" s="1159" t="str">
        <f t="shared" si="105"/>
        <v>II</v>
      </c>
      <c r="C745" s="1160"/>
      <c r="D745" s="1161"/>
      <c r="E745" s="1162"/>
    </row>
    <row r="746" spans="1:5" ht="13.5" hidden="1">
      <c r="A746" s="1159" t="str">
        <f t="shared" si="104"/>
        <v>Drolshagen, Stadt</v>
      </c>
      <c r="B746" s="1159" t="str">
        <f t="shared" si="105"/>
        <v>I</v>
      </c>
      <c r="C746" s="1160"/>
      <c r="D746" s="1161"/>
      <c r="E746" s="1162"/>
    </row>
    <row r="747" spans="1:5" ht="13.5" hidden="1">
      <c r="A747" s="1159" t="str">
        <f t="shared" si="104"/>
        <v>Duisburg, Stadt</v>
      </c>
      <c r="B747" s="1159" t="str">
        <f t="shared" si="105"/>
        <v>III</v>
      </c>
      <c r="C747" s="1160"/>
      <c r="D747" s="1161"/>
      <c r="E747" s="1162"/>
    </row>
    <row r="748" spans="1:5" ht="13.5" hidden="1">
      <c r="A748" s="1159" t="str">
        <f t="shared" ref="A748:A811" si="106">IF(AND(A389&gt;0,$D$251=1),INDEX(A389,1),IF(AND(C389&gt;0,$D$251=2),INDEX(C389,1),IF(AND(E389&gt;0,$D$251=3),INDEX(E389,1),IF(AND(G389&gt;0,$D$251=4),INDEX(G389,1),IF(AND(I389&gt;0,$D$251=5),INDEX(I389,1),IF(AND(K389&gt;0,$D$251=6),INDEX(K389,1),IF(AND(M389&gt;0,$D$251=7),INDEX(M389,1),IF(AND(O389&gt;0,$D$251=8),INDEX(O389,1),IF(AND(Q389&gt;0,$D$251=9),INDEX(Q389,1),IF(AND(S389&gt;0,$D$251=10),INDEX(S389,1),IF(AND(U389&gt;0,$D$251=11),INDEX(U389,1),IF(AND(W389&gt;0,$D$251=12),INDEX(W389,1),IF(AND(Y389&gt;0,$D$251=13),INDEX(Y389,1),IF(AND(AA389&gt;0,$D$251=14),INDEX(AA389,1),IF(AND(AC389&gt;0,$D$251=15),INDEX(AC389,1),IF(AND(AE389&gt;0,$D$251=16),INDEX(AE389,1),0))))))))))))))))</f>
        <v>Dülmen, Stadt</v>
      </c>
      <c r="B748" s="1159" t="str">
        <f t="shared" si="105"/>
        <v>II</v>
      </c>
      <c r="C748" s="1160"/>
      <c r="D748" s="1161"/>
      <c r="E748" s="1162"/>
    </row>
    <row r="749" spans="1:5" ht="13.5" hidden="1">
      <c r="A749" s="1159" t="str">
        <f t="shared" si="106"/>
        <v>Düren, Stadt</v>
      </c>
      <c r="B749" s="1159" t="str">
        <f t="shared" ref="B749:B812" si="107">IF(AND(B390&gt;0,$D$251=1),INDEX(B390,1),IF(AND(D390&gt;0,$D$251=2),INDEX(D390,1),IF(AND(F390&gt;0,$D$251=3),INDEX(F390,1),IF(AND(H390&gt;0,$D$251=4),INDEX(H390,1),IF(AND(J390&gt;0,$D$251=5),INDEX(J390,1),IF(AND(L390&gt;0,$D$251=6),INDEX(L390,1),IF(AND(N390&gt;0,$D$251=7),INDEX(N390,1),IF(AND(P390&gt;0,$D$251=8),INDEX(P390,1),IF(AND(R390&gt;0,$D$251=9),INDEX(R390,1),IF(AND(T390&gt;0,$D$251=10),INDEX(T390,1),IF(AND(V390&gt;0,$D$251=11),INDEX(V390,1),IF(AND(X390&gt;0,$D$251=12),INDEX(X390,1),IF(AND(Z390&gt;0,$D$251=13),INDEX(Z390,1),IF(AND(AB390&gt;0,$D$251=14),INDEX(AB390,1),IF(AND(AD390&gt;0,$D$251=15),INDEX(AD390,1),IF(AND(AF390&gt;0,$D$251=16),INDEX(AF390,1),0))))))))))))))))</f>
        <v>III</v>
      </c>
      <c r="C749" s="1160"/>
      <c r="D749" s="1161"/>
      <c r="E749" s="1162"/>
    </row>
    <row r="750" spans="1:5" ht="13.5" hidden="1">
      <c r="A750" s="1159" t="str">
        <f t="shared" si="106"/>
        <v>Düsseldorf, Stadt</v>
      </c>
      <c r="B750" s="1159" t="str">
        <f t="shared" si="107"/>
        <v>VI</v>
      </c>
      <c r="C750" s="1160"/>
      <c r="D750" s="1161"/>
      <c r="E750" s="1162"/>
    </row>
    <row r="751" spans="1:5" ht="13.5" hidden="1">
      <c r="A751" s="1159" t="str">
        <f t="shared" si="106"/>
        <v>Eitorf</v>
      </c>
      <c r="B751" s="1159" t="str">
        <f t="shared" si="107"/>
        <v>II</v>
      </c>
      <c r="C751" s="1160"/>
      <c r="D751" s="1161"/>
      <c r="E751" s="1162"/>
    </row>
    <row r="752" spans="1:5" ht="13.5" hidden="1">
      <c r="A752" s="1159" t="str">
        <f t="shared" si="106"/>
        <v>Elsdorf</v>
      </c>
      <c r="B752" s="1159" t="str">
        <f t="shared" si="107"/>
        <v>IV</v>
      </c>
      <c r="C752" s="1160"/>
      <c r="D752" s="1161"/>
      <c r="E752" s="1162"/>
    </row>
    <row r="753" spans="1:5" ht="13.5" hidden="1">
      <c r="A753" s="1159" t="str">
        <f t="shared" si="106"/>
        <v>Emmerich am Rhein, Stadt</v>
      </c>
      <c r="B753" s="1159" t="str">
        <f t="shared" si="107"/>
        <v>III</v>
      </c>
      <c r="C753" s="1160"/>
      <c r="D753" s="1161"/>
      <c r="E753" s="1162"/>
    </row>
    <row r="754" spans="1:5" ht="13.5" hidden="1">
      <c r="A754" s="1159" t="str">
        <f t="shared" si="106"/>
        <v>Emsdetten, Stadt</v>
      </c>
      <c r="B754" s="1159" t="str">
        <f t="shared" si="107"/>
        <v>II</v>
      </c>
      <c r="C754" s="1160"/>
      <c r="D754" s="1161"/>
      <c r="E754" s="1162"/>
    </row>
    <row r="755" spans="1:5" ht="13.5" hidden="1">
      <c r="A755" s="1159" t="str">
        <f t="shared" si="106"/>
        <v>Engelskirchen</v>
      </c>
      <c r="B755" s="1159" t="str">
        <f t="shared" si="107"/>
        <v>III</v>
      </c>
      <c r="C755" s="1160"/>
      <c r="D755" s="1161"/>
      <c r="E755" s="1162"/>
    </row>
    <row r="756" spans="1:5" ht="13.5" hidden="1">
      <c r="A756" s="1159" t="str">
        <f t="shared" si="106"/>
        <v>Enger, Stadt</v>
      </c>
      <c r="B756" s="1159" t="str">
        <f t="shared" si="107"/>
        <v>II</v>
      </c>
      <c r="C756" s="1160"/>
      <c r="D756" s="1161"/>
      <c r="E756" s="1162"/>
    </row>
    <row r="757" spans="1:5" ht="13.5" hidden="1">
      <c r="A757" s="1159" t="str">
        <f t="shared" si="106"/>
        <v>Ennepetal, Stadt</v>
      </c>
      <c r="B757" s="1159" t="str">
        <f t="shared" si="107"/>
        <v>III</v>
      </c>
      <c r="C757" s="1160"/>
      <c r="D757" s="1161"/>
      <c r="E757" s="1162"/>
    </row>
    <row r="758" spans="1:5" ht="13.5" hidden="1">
      <c r="A758" s="1159" t="str">
        <f t="shared" si="106"/>
        <v>Ennigerloh, Stadt</v>
      </c>
      <c r="B758" s="1159" t="str">
        <f t="shared" si="107"/>
        <v>II</v>
      </c>
      <c r="C758" s="1160"/>
      <c r="D758" s="1161"/>
      <c r="E758" s="1162"/>
    </row>
    <row r="759" spans="1:5" ht="13.5" hidden="1">
      <c r="A759" s="1159" t="str">
        <f t="shared" si="106"/>
        <v>Ense</v>
      </c>
      <c r="B759" s="1159" t="str">
        <f t="shared" si="107"/>
        <v>II</v>
      </c>
      <c r="C759" s="1160"/>
      <c r="D759" s="1161"/>
      <c r="E759" s="1162"/>
    </row>
    <row r="760" spans="1:5" ht="13.5" hidden="1">
      <c r="A760" s="1159" t="str">
        <f t="shared" si="106"/>
        <v>Erftstadt, Stadt</v>
      </c>
      <c r="B760" s="1159" t="str">
        <f t="shared" si="107"/>
        <v>IV</v>
      </c>
      <c r="C760" s="1160"/>
      <c r="D760" s="1161"/>
      <c r="E760" s="1162"/>
    </row>
    <row r="761" spans="1:5" ht="13.5" hidden="1">
      <c r="A761" s="1159" t="str">
        <f t="shared" si="106"/>
        <v>Erkelenz, Stadt</v>
      </c>
      <c r="B761" s="1159" t="str">
        <f t="shared" si="107"/>
        <v>III</v>
      </c>
      <c r="C761" s="1160"/>
      <c r="D761" s="1161"/>
      <c r="E761" s="1162"/>
    </row>
    <row r="762" spans="1:5" ht="13.5" hidden="1">
      <c r="A762" s="1159" t="str">
        <f t="shared" si="106"/>
        <v>Erkrath, Stadt</v>
      </c>
      <c r="B762" s="1159" t="str">
        <f t="shared" si="107"/>
        <v>IV</v>
      </c>
      <c r="C762" s="1160"/>
      <c r="D762" s="1161"/>
      <c r="E762" s="1162"/>
    </row>
    <row r="763" spans="1:5" ht="13.5" hidden="1">
      <c r="A763" s="1159" t="str">
        <f t="shared" si="106"/>
        <v>Erwitte, Stadt</v>
      </c>
      <c r="B763" s="1159" t="str">
        <f t="shared" si="107"/>
        <v>II</v>
      </c>
      <c r="C763" s="1160"/>
      <c r="D763" s="1161"/>
      <c r="E763" s="1162"/>
    </row>
    <row r="764" spans="1:5" ht="13.5" hidden="1">
      <c r="A764" s="1159" t="str">
        <f t="shared" si="106"/>
        <v>Eschweiler, Stadt</v>
      </c>
      <c r="B764" s="1159" t="str">
        <f t="shared" si="107"/>
        <v>III</v>
      </c>
      <c r="C764" s="1160"/>
      <c r="D764" s="1161"/>
      <c r="E764" s="1162"/>
    </row>
    <row r="765" spans="1:5" ht="13.5" hidden="1">
      <c r="A765" s="1159" t="str">
        <f t="shared" si="106"/>
        <v>Espelkamp, Stadt</v>
      </c>
      <c r="B765" s="1159" t="str">
        <f t="shared" si="107"/>
        <v>II</v>
      </c>
      <c r="C765" s="1160"/>
      <c r="D765" s="1161"/>
      <c r="E765" s="1162"/>
    </row>
    <row r="766" spans="1:5" ht="13.5" hidden="1">
      <c r="A766" s="1159" t="str">
        <f t="shared" si="106"/>
        <v>Essen, Stadt</v>
      </c>
      <c r="B766" s="1159" t="str">
        <f t="shared" si="107"/>
        <v>IV</v>
      </c>
      <c r="C766" s="1160"/>
      <c r="D766" s="1161"/>
      <c r="E766" s="1162"/>
    </row>
    <row r="767" spans="1:5" ht="13.5" hidden="1">
      <c r="A767" s="1159" t="str">
        <f t="shared" si="106"/>
        <v>Euskirchen, Stadt</v>
      </c>
      <c r="B767" s="1159" t="str">
        <f t="shared" si="107"/>
        <v>III</v>
      </c>
      <c r="C767" s="1160"/>
      <c r="D767" s="1161"/>
      <c r="E767" s="1162"/>
    </row>
    <row r="768" spans="1:5" ht="13.5" hidden="1">
      <c r="A768" s="1159" t="str">
        <f t="shared" si="106"/>
        <v>Extertal</v>
      </c>
      <c r="B768" s="1159" t="str">
        <f t="shared" si="107"/>
        <v>I</v>
      </c>
      <c r="C768" s="1160"/>
      <c r="D768" s="1161"/>
      <c r="E768" s="1162"/>
    </row>
    <row r="769" spans="1:5" ht="13.5" hidden="1">
      <c r="A769" s="1159" t="str">
        <f t="shared" si="106"/>
        <v>Finnentrop</v>
      </c>
      <c r="B769" s="1159" t="str">
        <f t="shared" si="107"/>
        <v>I</v>
      </c>
      <c r="C769" s="1160"/>
      <c r="D769" s="1161"/>
      <c r="E769" s="1162"/>
    </row>
    <row r="770" spans="1:5" ht="13.5" hidden="1">
      <c r="A770" s="1159" t="str">
        <f t="shared" si="106"/>
        <v>Frechen, Stadt</v>
      </c>
      <c r="B770" s="1159" t="str">
        <f t="shared" si="107"/>
        <v>IV</v>
      </c>
      <c r="C770" s="1160"/>
      <c r="D770" s="1161"/>
      <c r="E770" s="1162"/>
    </row>
    <row r="771" spans="1:5" ht="13.5" hidden="1">
      <c r="A771" s="1159" t="str">
        <f t="shared" si="106"/>
        <v>Freudenberg, Stadt</v>
      </c>
      <c r="B771" s="1159" t="str">
        <f t="shared" si="107"/>
        <v>II</v>
      </c>
      <c r="C771" s="1160"/>
      <c r="D771" s="1161"/>
      <c r="E771" s="1162"/>
    </row>
    <row r="772" spans="1:5" ht="13.5" hidden="1">
      <c r="A772" s="1159" t="str">
        <f t="shared" si="106"/>
        <v>Fröndenberg, Stadt</v>
      </c>
      <c r="B772" s="1159" t="str">
        <f t="shared" si="107"/>
        <v>II</v>
      </c>
      <c r="C772" s="1160"/>
      <c r="D772" s="1161"/>
      <c r="E772" s="1162"/>
    </row>
    <row r="773" spans="1:5" ht="13.5" hidden="1">
      <c r="A773" s="1159" t="str">
        <f t="shared" si="106"/>
        <v>Gangelt</v>
      </c>
      <c r="B773" s="1159" t="str">
        <f t="shared" si="107"/>
        <v>I</v>
      </c>
      <c r="C773" s="1160"/>
      <c r="D773" s="1161"/>
      <c r="E773" s="1162"/>
    </row>
    <row r="774" spans="1:5" ht="13.5" hidden="1">
      <c r="A774" s="1159" t="str">
        <f t="shared" si="106"/>
        <v>Geilenkirchen, Stadt</v>
      </c>
      <c r="B774" s="1159" t="str">
        <f t="shared" si="107"/>
        <v>II</v>
      </c>
      <c r="C774" s="1160"/>
      <c r="D774" s="1161"/>
      <c r="E774" s="1162"/>
    </row>
    <row r="775" spans="1:5" ht="13.5" hidden="1">
      <c r="A775" s="1159" t="str">
        <f t="shared" si="106"/>
        <v>Geldern, Stadt</v>
      </c>
      <c r="B775" s="1159" t="str">
        <f t="shared" si="107"/>
        <v>III</v>
      </c>
      <c r="C775" s="1160"/>
      <c r="D775" s="1161"/>
      <c r="E775" s="1162"/>
    </row>
    <row r="776" spans="1:5" ht="13.5" hidden="1">
      <c r="A776" s="1159" t="str">
        <f t="shared" si="106"/>
        <v>Gelsenkirchen, Stadt</v>
      </c>
      <c r="B776" s="1159" t="str">
        <f t="shared" si="107"/>
        <v>II</v>
      </c>
      <c r="C776" s="1160"/>
      <c r="D776" s="1161"/>
      <c r="E776" s="1162"/>
    </row>
    <row r="777" spans="1:5" ht="13.5" hidden="1">
      <c r="A777" s="1159" t="str">
        <f t="shared" si="106"/>
        <v>Gescher, Stadt</v>
      </c>
      <c r="B777" s="1159" t="str">
        <f t="shared" si="107"/>
        <v>II</v>
      </c>
      <c r="C777" s="1160"/>
      <c r="D777" s="1161"/>
      <c r="E777" s="1162"/>
    </row>
    <row r="778" spans="1:5" ht="13.5" hidden="1">
      <c r="A778" s="1159" t="str">
        <f t="shared" si="106"/>
        <v>Geseke, Stadt</v>
      </c>
      <c r="B778" s="1159" t="str">
        <f t="shared" si="107"/>
        <v>II</v>
      </c>
      <c r="C778" s="1160"/>
      <c r="D778" s="1161"/>
      <c r="E778" s="1162"/>
    </row>
    <row r="779" spans="1:5" ht="13.5" hidden="1">
      <c r="A779" s="1159" t="str">
        <f t="shared" si="106"/>
        <v>Gevelsberg, Stadt</v>
      </c>
      <c r="B779" s="1159" t="str">
        <f t="shared" si="107"/>
        <v>III</v>
      </c>
      <c r="C779" s="1160"/>
      <c r="D779" s="1161"/>
      <c r="E779" s="1162"/>
    </row>
    <row r="780" spans="1:5" ht="13.5" hidden="1">
      <c r="A780" s="1159" t="str">
        <f t="shared" si="106"/>
        <v>Gladbeck, Stadt</v>
      </c>
      <c r="B780" s="1159" t="str">
        <f t="shared" si="107"/>
        <v>II</v>
      </c>
      <c r="C780" s="1160"/>
      <c r="D780" s="1161"/>
      <c r="E780" s="1162"/>
    </row>
    <row r="781" spans="1:5" ht="13.5" hidden="1">
      <c r="A781" s="1159" t="str">
        <f t="shared" si="106"/>
        <v>Goch, Stadt</v>
      </c>
      <c r="B781" s="1159" t="str">
        <f t="shared" si="107"/>
        <v>III</v>
      </c>
      <c r="C781" s="1160"/>
      <c r="D781" s="1161"/>
      <c r="E781" s="1162"/>
    </row>
    <row r="782" spans="1:5" ht="13.5" hidden="1">
      <c r="A782" s="1159" t="str">
        <f t="shared" si="106"/>
        <v>Grefrath</v>
      </c>
      <c r="B782" s="1159" t="str">
        <f t="shared" si="107"/>
        <v>III</v>
      </c>
      <c r="C782" s="1160"/>
      <c r="D782" s="1161"/>
      <c r="E782" s="1162"/>
    </row>
    <row r="783" spans="1:5" ht="13.5" hidden="1">
      <c r="A783" s="1159" t="str">
        <f t="shared" si="106"/>
        <v>Greven, Stadt</v>
      </c>
      <c r="B783" s="1159" t="str">
        <f t="shared" si="107"/>
        <v>III</v>
      </c>
      <c r="C783" s="1160"/>
      <c r="D783" s="1161"/>
      <c r="E783" s="1162"/>
    </row>
    <row r="784" spans="1:5" ht="13.5" hidden="1">
      <c r="A784" s="1159" t="str">
        <f t="shared" si="106"/>
        <v>Grevenbroich, Stadt</v>
      </c>
      <c r="B784" s="1159" t="str">
        <f t="shared" si="107"/>
        <v>IV</v>
      </c>
      <c r="C784" s="1160"/>
      <c r="D784" s="1161"/>
      <c r="E784" s="1162"/>
    </row>
    <row r="785" spans="1:5" ht="13.5" hidden="1">
      <c r="A785" s="1159" t="str">
        <f t="shared" si="106"/>
        <v>Gronau (Westfalen), Stadt</v>
      </c>
      <c r="B785" s="1159" t="str">
        <f t="shared" si="107"/>
        <v>II</v>
      </c>
      <c r="C785" s="1160"/>
      <c r="D785" s="1161"/>
      <c r="E785" s="1162"/>
    </row>
    <row r="786" spans="1:5" ht="13.5" hidden="1">
      <c r="A786" s="1159" t="str">
        <f t="shared" si="106"/>
        <v>Gummersbach, Stadt</v>
      </c>
      <c r="B786" s="1159" t="str">
        <f t="shared" si="107"/>
        <v>II</v>
      </c>
      <c r="C786" s="1160"/>
      <c r="D786" s="1161"/>
      <c r="E786" s="1162"/>
    </row>
    <row r="787" spans="1:5" ht="13.5" hidden="1">
      <c r="A787" s="1159" t="str">
        <f t="shared" si="106"/>
        <v>Gütersloh, Stadt</v>
      </c>
      <c r="B787" s="1159" t="str">
        <f t="shared" si="107"/>
        <v>III</v>
      </c>
      <c r="C787" s="1160"/>
      <c r="D787" s="1161"/>
      <c r="E787" s="1162"/>
    </row>
    <row r="788" spans="1:5" ht="13.5" hidden="1">
      <c r="A788" s="1159" t="str">
        <f t="shared" si="106"/>
        <v>Haan, Stadt</v>
      </c>
      <c r="B788" s="1159" t="str">
        <f t="shared" si="107"/>
        <v>IV</v>
      </c>
      <c r="C788" s="1160"/>
      <c r="D788" s="1161"/>
      <c r="E788" s="1162"/>
    </row>
    <row r="789" spans="1:5" ht="13.5" hidden="1">
      <c r="A789" s="1159" t="str">
        <f t="shared" si="106"/>
        <v>Hagen, Stadt</v>
      </c>
      <c r="B789" s="1159" t="str">
        <f t="shared" si="107"/>
        <v>III</v>
      </c>
      <c r="C789" s="1160"/>
      <c r="D789" s="1161"/>
      <c r="E789" s="1162"/>
    </row>
    <row r="790" spans="1:5" ht="13.5" hidden="1">
      <c r="A790" s="1159" t="str">
        <f t="shared" si="106"/>
        <v>Halle (Westfalen), Stadt</v>
      </c>
      <c r="B790" s="1159" t="str">
        <f t="shared" si="107"/>
        <v>II</v>
      </c>
      <c r="C790" s="1160"/>
      <c r="D790" s="1161"/>
      <c r="E790" s="1162"/>
    </row>
    <row r="791" spans="1:5" ht="13.5" hidden="1">
      <c r="A791" s="1159" t="str">
        <f t="shared" si="106"/>
        <v>Haltern am See, Stadt</v>
      </c>
      <c r="B791" s="1159" t="str">
        <f t="shared" si="107"/>
        <v>III</v>
      </c>
      <c r="C791" s="1160"/>
      <c r="D791" s="1161"/>
      <c r="E791" s="1162"/>
    </row>
    <row r="792" spans="1:5" ht="13.5" hidden="1">
      <c r="A792" s="1159" t="str">
        <f t="shared" si="106"/>
        <v>Halver, Stadt</v>
      </c>
      <c r="B792" s="1159" t="str">
        <f t="shared" si="107"/>
        <v>III</v>
      </c>
      <c r="C792" s="1160"/>
      <c r="D792" s="1161"/>
      <c r="E792" s="1162"/>
    </row>
    <row r="793" spans="1:5" ht="13.5" hidden="1">
      <c r="A793" s="1159" t="str">
        <f t="shared" si="106"/>
        <v>Hamm, Stadt</v>
      </c>
      <c r="B793" s="1159" t="str">
        <f t="shared" si="107"/>
        <v>II</v>
      </c>
      <c r="C793" s="1160"/>
      <c r="D793" s="1161"/>
      <c r="E793" s="1162"/>
    </row>
    <row r="794" spans="1:5" ht="13.5" hidden="1">
      <c r="A794" s="1159" t="str">
        <f t="shared" si="106"/>
        <v>Hamminkeln, Stadt</v>
      </c>
      <c r="B794" s="1159" t="str">
        <f t="shared" si="107"/>
        <v>II</v>
      </c>
      <c r="C794" s="1160"/>
      <c r="D794" s="1161"/>
      <c r="E794" s="1162"/>
    </row>
    <row r="795" spans="1:5" ht="13.5" hidden="1">
      <c r="A795" s="1159" t="str">
        <f t="shared" si="106"/>
        <v>Harsewinkel, Stadt</v>
      </c>
      <c r="B795" s="1159" t="str">
        <f t="shared" si="107"/>
        <v>II</v>
      </c>
      <c r="C795" s="1160"/>
      <c r="D795" s="1161"/>
      <c r="E795" s="1162"/>
    </row>
    <row r="796" spans="1:5" ht="13.5" hidden="1">
      <c r="A796" s="1159" t="str">
        <f t="shared" si="106"/>
        <v>Hattingen, Stadt</v>
      </c>
      <c r="B796" s="1159" t="str">
        <f t="shared" si="107"/>
        <v>III</v>
      </c>
      <c r="C796" s="1160"/>
      <c r="D796" s="1161"/>
      <c r="E796" s="1162"/>
    </row>
    <row r="797" spans="1:5" ht="13.5" hidden="1">
      <c r="A797" s="1159" t="str">
        <f t="shared" si="106"/>
        <v>Havixbeck</v>
      </c>
      <c r="B797" s="1159" t="str">
        <f t="shared" si="107"/>
        <v>III</v>
      </c>
      <c r="C797" s="1160"/>
      <c r="D797" s="1161"/>
      <c r="E797" s="1162"/>
    </row>
    <row r="798" spans="1:5" ht="13.5" hidden="1">
      <c r="A798" s="1159" t="str">
        <f t="shared" si="106"/>
        <v>Heiligenhaus, Stadt</v>
      </c>
      <c r="B798" s="1159" t="str">
        <f t="shared" si="107"/>
        <v>IV</v>
      </c>
      <c r="C798" s="1160"/>
      <c r="D798" s="1161"/>
      <c r="E798" s="1162"/>
    </row>
    <row r="799" spans="1:5" ht="13.5" hidden="1">
      <c r="A799" s="1159" t="str">
        <f t="shared" si="106"/>
        <v>Heinsberg, Stadt</v>
      </c>
      <c r="B799" s="1159" t="str">
        <f t="shared" si="107"/>
        <v>II</v>
      </c>
      <c r="C799" s="1160"/>
      <c r="D799" s="1161"/>
      <c r="E799" s="1162"/>
    </row>
    <row r="800" spans="1:5" ht="13.5" hidden="1">
      <c r="A800" s="1159" t="str">
        <f t="shared" si="106"/>
        <v>Hemer, Stadt</v>
      </c>
      <c r="B800" s="1159" t="str">
        <f t="shared" si="107"/>
        <v>II</v>
      </c>
      <c r="C800" s="1160"/>
      <c r="D800" s="1161"/>
      <c r="E800" s="1162"/>
    </row>
    <row r="801" spans="1:5" ht="13.5" hidden="1">
      <c r="A801" s="1159" t="str">
        <f t="shared" si="106"/>
        <v>Hennef (Sieg), Stadt</v>
      </c>
      <c r="B801" s="1159" t="str">
        <f t="shared" si="107"/>
        <v>IV</v>
      </c>
      <c r="C801" s="1160"/>
      <c r="D801" s="1161"/>
      <c r="E801" s="1162"/>
    </row>
    <row r="802" spans="1:5" ht="13.5" hidden="1">
      <c r="A802" s="1159" t="str">
        <f t="shared" si="106"/>
        <v>Herdecke, Stadt</v>
      </c>
      <c r="B802" s="1159" t="str">
        <f t="shared" si="107"/>
        <v>III</v>
      </c>
      <c r="C802" s="1160"/>
      <c r="D802" s="1161"/>
      <c r="E802" s="1162"/>
    </row>
    <row r="803" spans="1:5" ht="13.5" hidden="1">
      <c r="A803" s="1159" t="str">
        <f t="shared" si="106"/>
        <v>Herford, Stadt</v>
      </c>
      <c r="B803" s="1159" t="str">
        <f t="shared" si="107"/>
        <v>II</v>
      </c>
      <c r="C803" s="1160"/>
      <c r="D803" s="1161"/>
      <c r="E803" s="1162"/>
    </row>
    <row r="804" spans="1:5" ht="13.5" hidden="1">
      <c r="A804" s="1159" t="str">
        <f t="shared" si="106"/>
        <v>Herne, Stadt</v>
      </c>
      <c r="B804" s="1159" t="str">
        <f t="shared" si="107"/>
        <v>II</v>
      </c>
      <c r="C804" s="1160"/>
      <c r="D804" s="1161"/>
      <c r="E804" s="1162"/>
    </row>
    <row r="805" spans="1:5" ht="13.5" hidden="1">
      <c r="A805" s="1159" t="str">
        <f t="shared" si="106"/>
        <v>Herten, Stadt</v>
      </c>
      <c r="B805" s="1159" t="str">
        <f t="shared" si="107"/>
        <v>III</v>
      </c>
      <c r="C805" s="1160"/>
      <c r="D805" s="1161"/>
      <c r="E805" s="1162"/>
    </row>
    <row r="806" spans="1:5" ht="13.5" hidden="1">
      <c r="A806" s="1159" t="str">
        <f t="shared" si="106"/>
        <v>Herzebrock-Clarholz</v>
      </c>
      <c r="B806" s="1159" t="str">
        <f t="shared" si="107"/>
        <v>II</v>
      </c>
      <c r="C806" s="1160"/>
      <c r="D806" s="1161"/>
      <c r="E806" s="1162"/>
    </row>
    <row r="807" spans="1:5" ht="13.5" hidden="1">
      <c r="A807" s="1159" t="str">
        <f t="shared" si="106"/>
        <v>Herzogenrath, Stadt</v>
      </c>
      <c r="B807" s="1159" t="str">
        <f t="shared" si="107"/>
        <v>III</v>
      </c>
      <c r="C807" s="1160"/>
      <c r="D807" s="1161"/>
      <c r="E807" s="1162"/>
    </row>
    <row r="808" spans="1:5" ht="13.5" hidden="1">
      <c r="A808" s="1159" t="str">
        <f t="shared" si="106"/>
        <v>Hiddenhausen</v>
      </c>
      <c r="B808" s="1159" t="str">
        <f t="shared" si="107"/>
        <v>II</v>
      </c>
      <c r="C808" s="1160"/>
      <c r="D808" s="1161"/>
      <c r="E808" s="1162"/>
    </row>
    <row r="809" spans="1:5" ht="13.5" hidden="1">
      <c r="A809" s="1159" t="str">
        <f t="shared" si="106"/>
        <v>Hilchenbach, Stadt</v>
      </c>
      <c r="B809" s="1159" t="str">
        <f t="shared" si="107"/>
        <v>II</v>
      </c>
      <c r="C809" s="1160"/>
      <c r="D809" s="1161"/>
      <c r="E809" s="1162"/>
    </row>
    <row r="810" spans="1:5" ht="13.5" hidden="1">
      <c r="A810" s="1159" t="str">
        <f t="shared" si="106"/>
        <v>Hilden, Stadt</v>
      </c>
      <c r="B810" s="1159" t="str">
        <f t="shared" si="107"/>
        <v>V</v>
      </c>
      <c r="C810" s="1160"/>
      <c r="D810" s="1161"/>
      <c r="E810" s="1162"/>
    </row>
    <row r="811" spans="1:5" ht="13.5" hidden="1">
      <c r="A811" s="1159" t="str">
        <f t="shared" si="106"/>
        <v>Hille</v>
      </c>
      <c r="B811" s="1159" t="str">
        <f t="shared" si="107"/>
        <v>I</v>
      </c>
      <c r="C811" s="1160"/>
      <c r="D811" s="1161"/>
      <c r="E811" s="1162"/>
    </row>
    <row r="812" spans="1:5" ht="13.5" hidden="1">
      <c r="A812" s="1159" t="str">
        <f t="shared" ref="A812:A875" si="108">IF(AND(A453&gt;0,$D$251=1),INDEX(A453,1),IF(AND(C453&gt;0,$D$251=2),INDEX(C453,1),IF(AND(E453&gt;0,$D$251=3),INDEX(E453,1),IF(AND(G453&gt;0,$D$251=4),INDEX(G453,1),IF(AND(I453&gt;0,$D$251=5),INDEX(I453,1),IF(AND(K453&gt;0,$D$251=6),INDEX(K453,1),IF(AND(M453&gt;0,$D$251=7),INDEX(M453,1),IF(AND(O453&gt;0,$D$251=8),INDEX(O453,1),IF(AND(Q453&gt;0,$D$251=9),INDEX(Q453,1),IF(AND(S453&gt;0,$D$251=10),INDEX(S453,1),IF(AND(U453&gt;0,$D$251=11),INDEX(U453,1),IF(AND(W453&gt;0,$D$251=12),INDEX(W453,1),IF(AND(Y453&gt;0,$D$251=13),INDEX(Y453,1),IF(AND(AA453&gt;0,$D$251=14),INDEX(AA453,1),IF(AND(AC453&gt;0,$D$251=15),INDEX(AC453,1),IF(AND(AE453&gt;0,$D$251=16),INDEX(AE453,1),0))))))))))))))))</f>
        <v>Holzwickede</v>
      </c>
      <c r="B812" s="1159" t="str">
        <f t="shared" si="107"/>
        <v>III</v>
      </c>
      <c r="C812" s="1160"/>
      <c r="D812" s="1161"/>
      <c r="E812" s="1162"/>
    </row>
    <row r="813" spans="1:5" ht="13.5" hidden="1">
      <c r="A813" s="1159" t="str">
        <f t="shared" si="108"/>
        <v>Horn-Bad Meinberg, Stadt</v>
      </c>
      <c r="B813" s="1159" t="str">
        <f t="shared" ref="B813:B876" si="109">IF(AND(B454&gt;0,$D$251=1),INDEX(B454,1),IF(AND(D454&gt;0,$D$251=2),INDEX(D454,1),IF(AND(F454&gt;0,$D$251=3),INDEX(F454,1),IF(AND(H454&gt;0,$D$251=4),INDEX(H454,1),IF(AND(J454&gt;0,$D$251=5),INDEX(J454,1),IF(AND(L454&gt;0,$D$251=6),INDEX(L454,1),IF(AND(N454&gt;0,$D$251=7),INDEX(N454,1),IF(AND(P454&gt;0,$D$251=8),INDEX(P454,1),IF(AND(R454&gt;0,$D$251=9),INDEX(R454,1),IF(AND(T454&gt;0,$D$251=10),INDEX(T454,1),IF(AND(V454&gt;0,$D$251=11),INDEX(V454,1),IF(AND(X454&gt;0,$D$251=12),INDEX(X454,1),IF(AND(Z454&gt;0,$D$251=13),INDEX(Z454,1),IF(AND(AB454&gt;0,$D$251=14),INDEX(AB454,1),IF(AND(AD454&gt;0,$D$251=15),INDEX(AD454,1),IF(AND(AF454&gt;0,$D$251=16),INDEX(AF454,1),0))))))))))))))))</f>
        <v>I</v>
      </c>
      <c r="C813" s="1160"/>
      <c r="D813" s="1161"/>
      <c r="E813" s="1162"/>
    </row>
    <row r="814" spans="1:5" ht="13.5" hidden="1">
      <c r="A814" s="1159" t="str">
        <f t="shared" si="108"/>
        <v>Hörstel, Stadt</v>
      </c>
      <c r="B814" s="1159" t="str">
        <f t="shared" si="109"/>
        <v>I</v>
      </c>
      <c r="C814" s="1160"/>
      <c r="D814" s="1161"/>
      <c r="E814" s="1162"/>
    </row>
    <row r="815" spans="1:5" ht="13.5" hidden="1">
      <c r="A815" s="1159" t="str">
        <f t="shared" si="108"/>
        <v>Hövelhof</v>
      </c>
      <c r="B815" s="1159" t="str">
        <f t="shared" si="109"/>
        <v>I</v>
      </c>
      <c r="C815" s="1160"/>
      <c r="D815" s="1161"/>
      <c r="E815" s="1162"/>
    </row>
    <row r="816" spans="1:5" ht="13.5" hidden="1">
      <c r="A816" s="1159" t="str">
        <f t="shared" si="108"/>
        <v>Höxter, Stadt</v>
      </c>
      <c r="B816" s="1159" t="str">
        <f t="shared" si="109"/>
        <v>I</v>
      </c>
      <c r="C816" s="1160"/>
      <c r="D816" s="1161"/>
      <c r="E816" s="1162"/>
    </row>
    <row r="817" spans="1:5" ht="13.5" hidden="1">
      <c r="A817" s="1159" t="str">
        <f t="shared" si="108"/>
        <v>Hückelhoven, Stadt</v>
      </c>
      <c r="B817" s="1159" t="str">
        <f t="shared" si="109"/>
        <v>II</v>
      </c>
      <c r="C817" s="1160"/>
      <c r="D817" s="1161"/>
      <c r="E817" s="1162"/>
    </row>
    <row r="818" spans="1:5" ht="13.5" hidden="1">
      <c r="A818" s="1159" t="str">
        <f t="shared" si="108"/>
        <v>Hückeswagen, Stadt</v>
      </c>
      <c r="B818" s="1159" t="str">
        <f t="shared" si="109"/>
        <v>III</v>
      </c>
      <c r="C818" s="1160"/>
      <c r="D818" s="1161"/>
      <c r="E818" s="1162"/>
    </row>
    <row r="819" spans="1:5" ht="13.5" hidden="1">
      <c r="A819" s="1159" t="str">
        <f t="shared" si="108"/>
        <v>Hüllhorst</v>
      </c>
      <c r="B819" s="1159" t="str">
        <f t="shared" si="109"/>
        <v>I</v>
      </c>
      <c r="C819" s="1160"/>
      <c r="D819" s="1161"/>
      <c r="E819" s="1162"/>
    </row>
    <row r="820" spans="1:5" ht="13.5" hidden="1">
      <c r="A820" s="1159" t="str">
        <f t="shared" si="108"/>
        <v>Hünxe</v>
      </c>
      <c r="B820" s="1159" t="str">
        <f t="shared" si="109"/>
        <v>III</v>
      </c>
      <c r="C820" s="1160"/>
      <c r="D820" s="1161"/>
      <c r="E820" s="1162"/>
    </row>
    <row r="821" spans="1:5" ht="13.5" hidden="1">
      <c r="A821" s="1159" t="str">
        <f t="shared" si="108"/>
        <v>Hürth, Stadt</v>
      </c>
      <c r="B821" s="1159" t="str">
        <f t="shared" si="109"/>
        <v>V</v>
      </c>
      <c r="C821" s="1160"/>
      <c r="D821" s="1161"/>
      <c r="E821" s="1162"/>
    </row>
    <row r="822" spans="1:5" ht="13.5" hidden="1">
      <c r="A822" s="1159" t="str">
        <f t="shared" si="108"/>
        <v>Ibbenbüren, Stadt</v>
      </c>
      <c r="B822" s="1159" t="str">
        <f t="shared" si="109"/>
        <v>II</v>
      </c>
      <c r="C822" s="1160"/>
      <c r="D822" s="1161"/>
      <c r="E822" s="1162"/>
    </row>
    <row r="823" spans="1:5" ht="13.5" hidden="1">
      <c r="A823" s="1159" t="str">
        <f t="shared" si="108"/>
        <v>Iserlohn, Stadt</v>
      </c>
      <c r="B823" s="1159" t="str">
        <f t="shared" si="109"/>
        <v>III</v>
      </c>
      <c r="C823" s="1160"/>
      <c r="D823" s="1161"/>
      <c r="E823" s="1162"/>
    </row>
    <row r="824" spans="1:5" ht="13.5" hidden="1">
      <c r="A824" s="1159" t="str">
        <f t="shared" si="108"/>
        <v>Isselburg, Stadt</v>
      </c>
      <c r="B824" s="1159" t="str">
        <f t="shared" si="109"/>
        <v>II</v>
      </c>
      <c r="C824" s="1160"/>
      <c r="D824" s="1161"/>
      <c r="E824" s="1162"/>
    </row>
    <row r="825" spans="1:5" ht="13.5" hidden="1">
      <c r="A825" s="1159" t="str">
        <f t="shared" si="108"/>
        <v>Issum</v>
      </c>
      <c r="B825" s="1159" t="str">
        <f t="shared" si="109"/>
        <v>III</v>
      </c>
      <c r="C825" s="1160"/>
      <c r="D825" s="1161"/>
      <c r="E825" s="1162"/>
    </row>
    <row r="826" spans="1:5" ht="13.5" hidden="1">
      <c r="A826" s="1159" t="str">
        <f t="shared" si="108"/>
        <v>Jüchen</v>
      </c>
      <c r="B826" s="1159" t="str">
        <f t="shared" si="109"/>
        <v>III</v>
      </c>
      <c r="C826" s="1160"/>
      <c r="D826" s="1161"/>
      <c r="E826" s="1162"/>
    </row>
    <row r="827" spans="1:5" ht="13.5" hidden="1">
      <c r="A827" s="1159" t="str">
        <f t="shared" si="108"/>
        <v>Jülich, Stadt</v>
      </c>
      <c r="B827" s="1159" t="str">
        <f t="shared" si="109"/>
        <v>III</v>
      </c>
      <c r="C827" s="1160"/>
      <c r="D827" s="1161"/>
      <c r="E827" s="1162"/>
    </row>
    <row r="828" spans="1:5" ht="13.5" hidden="1">
      <c r="A828" s="1159" t="str">
        <f t="shared" si="108"/>
        <v>Kaarst, Stadt</v>
      </c>
      <c r="B828" s="1159" t="str">
        <f t="shared" si="109"/>
        <v>V</v>
      </c>
      <c r="C828" s="1160"/>
      <c r="D828" s="1161"/>
      <c r="E828" s="1162"/>
    </row>
    <row r="829" spans="1:5" ht="13.5" hidden="1">
      <c r="A829" s="1159" t="str">
        <f t="shared" si="108"/>
        <v>Kalkar, Stadt</v>
      </c>
      <c r="B829" s="1159" t="str">
        <f t="shared" si="109"/>
        <v>II</v>
      </c>
      <c r="C829" s="1160"/>
      <c r="D829" s="1161"/>
      <c r="E829" s="1162"/>
    </row>
    <row r="830" spans="1:5" ht="13.5" hidden="1">
      <c r="A830" s="1159" t="str">
        <f t="shared" si="108"/>
        <v>Kall</v>
      </c>
      <c r="B830" s="1159" t="str">
        <f t="shared" si="109"/>
        <v>II</v>
      </c>
      <c r="C830" s="1160"/>
      <c r="D830" s="1161"/>
      <c r="E830" s="1162"/>
    </row>
    <row r="831" spans="1:5" ht="13.5" hidden="1">
      <c r="A831" s="1159" t="str">
        <f t="shared" si="108"/>
        <v>Kalletal</v>
      </c>
      <c r="B831" s="1159" t="str">
        <f t="shared" si="109"/>
        <v>I</v>
      </c>
      <c r="C831" s="1160"/>
      <c r="D831" s="1161"/>
      <c r="E831" s="1162"/>
    </row>
    <row r="832" spans="1:5" ht="13.5" hidden="1">
      <c r="A832" s="1159" t="str">
        <f t="shared" si="108"/>
        <v>Kamen, Stadt</v>
      </c>
      <c r="B832" s="1159" t="str">
        <f t="shared" si="109"/>
        <v>III</v>
      </c>
      <c r="C832" s="1160"/>
      <c r="D832" s="1161"/>
      <c r="E832" s="1162"/>
    </row>
    <row r="833" spans="1:5" ht="13.5" hidden="1">
      <c r="A833" s="1159" t="str">
        <f t="shared" si="108"/>
        <v>Kamp-Lintfort, Stadt</v>
      </c>
      <c r="B833" s="1159" t="str">
        <f t="shared" si="109"/>
        <v>III</v>
      </c>
      <c r="C833" s="1160"/>
      <c r="D833" s="1161"/>
      <c r="E833" s="1162"/>
    </row>
    <row r="834" spans="1:5" ht="13.5" hidden="1">
      <c r="A834" s="1159" t="str">
        <f t="shared" si="108"/>
        <v>Kempen, Stadt</v>
      </c>
      <c r="B834" s="1159" t="str">
        <f t="shared" si="109"/>
        <v>III</v>
      </c>
      <c r="C834" s="1160"/>
      <c r="D834" s="1161"/>
      <c r="E834" s="1162"/>
    </row>
    <row r="835" spans="1:5" ht="13.5" hidden="1">
      <c r="A835" s="1159" t="str">
        <f t="shared" si="108"/>
        <v>Kerken</v>
      </c>
      <c r="B835" s="1159" t="str">
        <f t="shared" si="109"/>
        <v>III</v>
      </c>
      <c r="C835" s="1160"/>
      <c r="D835" s="1161"/>
      <c r="E835" s="1162"/>
    </row>
    <row r="836" spans="1:5" ht="13.5" hidden="1">
      <c r="A836" s="1159" t="str">
        <f t="shared" si="108"/>
        <v>Kerpen, Stadt</v>
      </c>
      <c r="B836" s="1159" t="str">
        <f t="shared" si="109"/>
        <v>IV</v>
      </c>
      <c r="C836" s="1160"/>
      <c r="D836" s="1161"/>
      <c r="E836" s="1162"/>
    </row>
    <row r="837" spans="1:5" ht="13.5" hidden="1">
      <c r="A837" s="1159" t="str">
        <f t="shared" si="108"/>
        <v>Kevelaer, Stadt</v>
      </c>
      <c r="B837" s="1159" t="str">
        <f t="shared" si="109"/>
        <v>II</v>
      </c>
      <c r="C837" s="1160"/>
      <c r="D837" s="1161"/>
      <c r="E837" s="1162"/>
    </row>
    <row r="838" spans="1:5" ht="13.5" hidden="1">
      <c r="A838" s="1159" t="str">
        <f t="shared" si="108"/>
        <v>Kierspe, Stadt</v>
      </c>
      <c r="B838" s="1159" t="str">
        <f t="shared" si="109"/>
        <v>III</v>
      </c>
      <c r="C838" s="1160"/>
      <c r="D838" s="1161"/>
      <c r="E838" s="1162"/>
    </row>
    <row r="839" spans="1:5" ht="13.5" hidden="1">
      <c r="A839" s="1159" t="str">
        <f t="shared" si="108"/>
        <v>Kirchhundem</v>
      </c>
      <c r="B839" s="1159" t="str">
        <f t="shared" si="109"/>
        <v>I</v>
      </c>
      <c r="C839" s="1160"/>
      <c r="D839" s="1161"/>
      <c r="E839" s="1162"/>
    </row>
    <row r="840" spans="1:5" ht="13.5" hidden="1">
      <c r="A840" s="1159" t="str">
        <f t="shared" si="108"/>
        <v>Kirchlengern</v>
      </c>
      <c r="B840" s="1159" t="str">
        <f t="shared" si="109"/>
        <v>II</v>
      </c>
      <c r="C840" s="1160"/>
      <c r="D840" s="1161"/>
      <c r="E840" s="1162"/>
    </row>
    <row r="841" spans="1:5" ht="13.5" hidden="1">
      <c r="A841" s="1159" t="str">
        <f t="shared" si="108"/>
        <v>Kleve, Stadt</v>
      </c>
      <c r="B841" s="1159" t="str">
        <f t="shared" si="109"/>
        <v>III</v>
      </c>
      <c r="C841" s="1160"/>
      <c r="D841" s="1161"/>
      <c r="E841" s="1162"/>
    </row>
    <row r="842" spans="1:5" ht="13.5" hidden="1">
      <c r="A842" s="1159" t="str">
        <f t="shared" si="108"/>
        <v>Köln, Stadt</v>
      </c>
      <c r="B842" s="1159" t="str">
        <f t="shared" si="109"/>
        <v>VI</v>
      </c>
      <c r="C842" s="1160"/>
      <c r="D842" s="1161"/>
      <c r="E842" s="1162"/>
    </row>
    <row r="843" spans="1:5" ht="13.5" hidden="1">
      <c r="A843" s="1159" t="str">
        <f t="shared" si="108"/>
        <v>Königswinter, Stadt</v>
      </c>
      <c r="B843" s="1159" t="str">
        <f t="shared" si="109"/>
        <v>IV</v>
      </c>
      <c r="C843" s="1160"/>
      <c r="D843" s="1161"/>
      <c r="E843" s="1162"/>
    </row>
    <row r="844" spans="1:5" ht="13.5" hidden="1">
      <c r="A844" s="1159" t="str">
        <f t="shared" si="108"/>
        <v>Korschenbroich, Stadt</v>
      </c>
      <c r="B844" s="1159" t="str">
        <f t="shared" si="109"/>
        <v>III</v>
      </c>
      <c r="C844" s="1160"/>
      <c r="D844" s="1161"/>
      <c r="E844" s="1162"/>
    </row>
    <row r="845" spans="1:5" ht="13.5" hidden="1">
      <c r="A845" s="1159" t="str">
        <f t="shared" si="108"/>
        <v>Kranenburg</v>
      </c>
      <c r="B845" s="1159" t="str">
        <f t="shared" si="109"/>
        <v>II</v>
      </c>
      <c r="C845" s="1160"/>
      <c r="D845" s="1161"/>
      <c r="E845" s="1162"/>
    </row>
    <row r="846" spans="1:5" ht="13.5" hidden="1">
      <c r="A846" s="1159" t="str">
        <f t="shared" si="108"/>
        <v>Krefeld, Stadt</v>
      </c>
      <c r="B846" s="1159" t="str">
        <f t="shared" si="109"/>
        <v>IV</v>
      </c>
      <c r="C846" s="1160"/>
      <c r="D846" s="1161"/>
      <c r="E846" s="1162"/>
    </row>
    <row r="847" spans="1:5" ht="13.5" hidden="1">
      <c r="A847" s="1159" t="str">
        <f t="shared" si="108"/>
        <v>Kreis Borken</v>
      </c>
      <c r="B847" s="1159" t="str">
        <f t="shared" si="109"/>
        <v>II</v>
      </c>
      <c r="C847" s="1160"/>
      <c r="D847" s="1161"/>
      <c r="E847" s="1162"/>
    </row>
    <row r="848" spans="1:5" ht="13.5" hidden="1">
      <c r="A848" s="1159" t="str">
        <f t="shared" si="108"/>
        <v>Kreis Coesfeld</v>
      </c>
      <c r="B848" s="1159" t="str">
        <f t="shared" si="109"/>
        <v>II</v>
      </c>
      <c r="C848" s="1160"/>
      <c r="D848" s="1161"/>
      <c r="E848" s="1162"/>
    </row>
    <row r="849" spans="1:5" ht="13.5" hidden="1">
      <c r="A849" s="1159" t="str">
        <f t="shared" si="108"/>
        <v>Kreis Düren</v>
      </c>
      <c r="B849" s="1159" t="str">
        <f t="shared" si="109"/>
        <v>II</v>
      </c>
      <c r="C849" s="1160"/>
      <c r="D849" s="1161"/>
      <c r="E849" s="1162"/>
    </row>
    <row r="850" spans="1:5" ht="13.5" hidden="1">
      <c r="A850" s="1159" t="str">
        <f t="shared" si="108"/>
        <v>Kreis Ennepe-Ruhr-Kreis</v>
      </c>
      <c r="B850" s="1159" t="str">
        <f t="shared" si="109"/>
        <v>III</v>
      </c>
      <c r="C850" s="1160"/>
      <c r="D850" s="1161"/>
      <c r="E850" s="1162"/>
    </row>
    <row r="851" spans="1:5" ht="13.5" hidden="1">
      <c r="A851" s="1159" t="str">
        <f t="shared" si="108"/>
        <v>Kreis Euskirchen</v>
      </c>
      <c r="B851" s="1159" t="str">
        <f t="shared" si="109"/>
        <v>I</v>
      </c>
      <c r="C851" s="1160"/>
      <c r="D851" s="1161"/>
      <c r="E851" s="1162"/>
    </row>
    <row r="852" spans="1:5" ht="13.5" hidden="1">
      <c r="A852" s="1159" t="str">
        <f t="shared" si="108"/>
        <v>Kreis Gütersloh</v>
      </c>
      <c r="B852" s="1159" t="str">
        <f t="shared" si="109"/>
        <v>II</v>
      </c>
      <c r="C852" s="1160"/>
      <c r="D852" s="1161"/>
      <c r="E852" s="1162"/>
    </row>
    <row r="853" spans="1:5" ht="13.5" hidden="1">
      <c r="A853" s="1159" t="str">
        <f t="shared" si="108"/>
        <v>Kreis Heinsberg</v>
      </c>
      <c r="B853" s="1159" t="str">
        <f t="shared" si="109"/>
        <v>II</v>
      </c>
      <c r="C853" s="1160"/>
      <c r="D853" s="1161"/>
      <c r="E853" s="1162"/>
    </row>
    <row r="854" spans="1:5" ht="13.5" hidden="1">
      <c r="A854" s="1159" t="str">
        <f t="shared" si="108"/>
        <v>Kreis Herford</v>
      </c>
      <c r="B854" s="1159" t="str">
        <f t="shared" si="109"/>
        <v>I</v>
      </c>
      <c r="C854" s="1160"/>
      <c r="D854" s="1161"/>
      <c r="E854" s="1162"/>
    </row>
    <row r="855" spans="1:5" ht="13.5" hidden="1">
      <c r="A855" s="1159" t="str">
        <f t="shared" si="108"/>
        <v>Kreis Hochsauerlandkreis</v>
      </c>
      <c r="B855" s="1159" t="str">
        <f t="shared" si="109"/>
        <v>I</v>
      </c>
      <c r="C855" s="1160"/>
      <c r="D855" s="1161"/>
      <c r="E855" s="1162"/>
    </row>
    <row r="856" spans="1:5" ht="13.5" hidden="1">
      <c r="A856" s="1159" t="str">
        <f t="shared" si="108"/>
        <v>Kreis Höxter</v>
      </c>
      <c r="B856" s="1159" t="str">
        <f t="shared" si="109"/>
        <v>I</v>
      </c>
      <c r="C856" s="1160"/>
      <c r="D856" s="1161"/>
      <c r="E856" s="1162"/>
    </row>
    <row r="857" spans="1:5" ht="13.5" hidden="1">
      <c r="A857" s="1159" t="str">
        <f t="shared" si="108"/>
        <v>Kreis Kleve</v>
      </c>
      <c r="B857" s="1159" t="str">
        <f t="shared" si="109"/>
        <v>II</v>
      </c>
      <c r="C857" s="1160"/>
      <c r="D857" s="1161"/>
      <c r="E857" s="1162"/>
    </row>
    <row r="858" spans="1:5" ht="13.5" hidden="1">
      <c r="A858" s="1159" t="str">
        <f t="shared" si="108"/>
        <v>Kreis Lippe</v>
      </c>
      <c r="B858" s="1159" t="str">
        <f t="shared" si="109"/>
        <v>I</v>
      </c>
      <c r="C858" s="1160"/>
      <c r="D858" s="1161"/>
      <c r="E858" s="1162"/>
    </row>
    <row r="859" spans="1:5" ht="13.5" hidden="1">
      <c r="A859" s="1159" t="str">
        <f t="shared" si="108"/>
        <v>Kreis Märkischer Kreis</v>
      </c>
      <c r="B859" s="1159" t="str">
        <f t="shared" si="109"/>
        <v>II</v>
      </c>
      <c r="C859" s="1160"/>
      <c r="D859" s="1161"/>
      <c r="E859" s="1162"/>
    </row>
    <row r="860" spans="1:5" ht="13.5" hidden="1">
      <c r="A860" s="1159" t="str">
        <f t="shared" si="108"/>
        <v>Kreis Paderborn</v>
      </c>
      <c r="B860" s="1159" t="str">
        <f t="shared" si="109"/>
        <v>I</v>
      </c>
      <c r="C860" s="1160"/>
      <c r="D860" s="1161"/>
      <c r="E860" s="1162"/>
    </row>
    <row r="861" spans="1:5" ht="13.5" hidden="1">
      <c r="A861" s="1159" t="str">
        <f t="shared" si="108"/>
        <v>Kreis Siegen-Wittgenstein</v>
      </c>
      <c r="B861" s="1159" t="str">
        <f t="shared" si="109"/>
        <v>II</v>
      </c>
      <c r="C861" s="1160"/>
      <c r="D861" s="1161"/>
      <c r="E861" s="1162"/>
    </row>
    <row r="862" spans="1:5" ht="13.5" hidden="1">
      <c r="A862" s="1159" t="str">
        <f t="shared" si="108"/>
        <v>Kreis Städteregion Aachen</v>
      </c>
      <c r="B862" s="1159" t="str">
        <f t="shared" si="109"/>
        <v>II</v>
      </c>
      <c r="C862" s="1160"/>
      <c r="D862" s="1161"/>
      <c r="E862" s="1162"/>
    </row>
    <row r="863" spans="1:5" ht="13.5" hidden="1">
      <c r="A863" s="1159" t="str">
        <f t="shared" si="108"/>
        <v>Kreis Steinfurt</v>
      </c>
      <c r="B863" s="1159" t="str">
        <f t="shared" si="109"/>
        <v>I</v>
      </c>
      <c r="C863" s="1160"/>
      <c r="D863" s="1161"/>
      <c r="E863" s="1162"/>
    </row>
    <row r="864" spans="1:5" ht="13.5" hidden="1">
      <c r="A864" s="1159" t="str">
        <f t="shared" si="108"/>
        <v>Kreis Warendorf</v>
      </c>
      <c r="B864" s="1159" t="str">
        <f t="shared" si="109"/>
        <v>II</v>
      </c>
      <c r="C864" s="1160"/>
      <c r="D864" s="1161"/>
      <c r="E864" s="1162"/>
    </row>
    <row r="865" spans="1:5" ht="13.5" hidden="1">
      <c r="A865" s="1159" t="str">
        <f t="shared" si="108"/>
        <v>Kreis Wesel</v>
      </c>
      <c r="B865" s="1159" t="str">
        <f t="shared" si="109"/>
        <v>II</v>
      </c>
      <c r="C865" s="1160"/>
      <c r="D865" s="1161"/>
      <c r="E865" s="1162"/>
    </row>
    <row r="866" spans="1:5" ht="13.5" hidden="1">
      <c r="A866" s="1159" t="str">
        <f t="shared" si="108"/>
        <v>Kreuzau</v>
      </c>
      <c r="B866" s="1159" t="str">
        <f t="shared" si="109"/>
        <v>II</v>
      </c>
      <c r="C866" s="1160"/>
      <c r="D866" s="1161"/>
      <c r="E866" s="1162"/>
    </row>
    <row r="867" spans="1:5" ht="13.5" hidden="1">
      <c r="A867" s="1159" t="str">
        <f t="shared" si="108"/>
        <v>Kreuztal, Stadt</v>
      </c>
      <c r="B867" s="1159" t="str">
        <f t="shared" si="109"/>
        <v>II</v>
      </c>
      <c r="C867" s="1160"/>
      <c r="D867" s="1161"/>
      <c r="E867" s="1162"/>
    </row>
    <row r="868" spans="1:5" ht="13.5" hidden="1">
      <c r="A868" s="1159" t="str">
        <f t="shared" si="108"/>
        <v>Kürten</v>
      </c>
      <c r="B868" s="1159" t="str">
        <f t="shared" si="109"/>
        <v>IV</v>
      </c>
      <c r="C868" s="1160"/>
      <c r="D868" s="1161"/>
      <c r="E868" s="1162"/>
    </row>
    <row r="869" spans="1:5" ht="13.5" hidden="1">
      <c r="A869" s="1159" t="str">
        <f t="shared" si="108"/>
        <v>Lage, Stadt</v>
      </c>
      <c r="B869" s="1159" t="str">
        <f t="shared" si="109"/>
        <v>II</v>
      </c>
      <c r="C869" s="1160"/>
      <c r="D869" s="1161"/>
      <c r="E869" s="1162"/>
    </row>
    <row r="870" spans="1:5" ht="13.5" hidden="1">
      <c r="A870" s="1159" t="str">
        <f t="shared" si="108"/>
        <v>Langenfeld (Rheinland), Stadt</v>
      </c>
      <c r="B870" s="1159" t="str">
        <f t="shared" si="109"/>
        <v>IV</v>
      </c>
      <c r="C870" s="1160"/>
      <c r="D870" s="1161"/>
      <c r="E870" s="1162"/>
    </row>
    <row r="871" spans="1:5" ht="13.5" hidden="1">
      <c r="A871" s="1159" t="str">
        <f t="shared" si="108"/>
        <v>Langerwehe</v>
      </c>
      <c r="B871" s="1159" t="str">
        <f t="shared" si="109"/>
        <v>II</v>
      </c>
      <c r="C871" s="1160"/>
      <c r="D871" s="1161"/>
      <c r="E871" s="1162"/>
    </row>
    <row r="872" spans="1:5" ht="13.5" hidden="1">
      <c r="A872" s="1159" t="str">
        <f t="shared" si="108"/>
        <v>Leichlingen (Rheinland), Stadt</v>
      </c>
      <c r="B872" s="1159" t="str">
        <f t="shared" si="109"/>
        <v>IV</v>
      </c>
      <c r="C872" s="1160"/>
      <c r="D872" s="1161"/>
      <c r="E872" s="1162"/>
    </row>
    <row r="873" spans="1:5" ht="13.5" hidden="1">
      <c r="A873" s="1159" t="str">
        <f t="shared" si="108"/>
        <v>Lemgo, Stadt</v>
      </c>
      <c r="B873" s="1159" t="str">
        <f t="shared" si="109"/>
        <v>II</v>
      </c>
      <c r="C873" s="1160"/>
      <c r="D873" s="1161"/>
      <c r="E873" s="1162"/>
    </row>
    <row r="874" spans="1:5" ht="13.5" hidden="1">
      <c r="A874" s="1159" t="str">
        <f t="shared" si="108"/>
        <v>Lengerich, Stadt</v>
      </c>
      <c r="B874" s="1159" t="str">
        <f t="shared" si="109"/>
        <v>II</v>
      </c>
      <c r="C874" s="1160"/>
      <c r="D874" s="1161"/>
      <c r="E874" s="1162"/>
    </row>
    <row r="875" spans="1:5" ht="13.5" hidden="1">
      <c r="A875" s="1159" t="str">
        <f t="shared" si="108"/>
        <v>Lennestadt, Stadt</v>
      </c>
      <c r="B875" s="1159" t="str">
        <f t="shared" si="109"/>
        <v>II</v>
      </c>
      <c r="C875" s="1160"/>
      <c r="D875" s="1161"/>
      <c r="E875" s="1162"/>
    </row>
    <row r="876" spans="1:5" ht="13.5" hidden="1">
      <c r="A876" s="1159" t="str">
        <f t="shared" ref="A876:A939" si="110">IF(AND(A517&gt;0,$D$251=1),INDEX(A517,1),IF(AND(C517&gt;0,$D$251=2),INDEX(C517,1),IF(AND(E517&gt;0,$D$251=3),INDEX(E517,1),IF(AND(G517&gt;0,$D$251=4),INDEX(G517,1),IF(AND(I517&gt;0,$D$251=5),INDEX(I517,1),IF(AND(K517&gt;0,$D$251=6),INDEX(K517,1),IF(AND(M517&gt;0,$D$251=7),INDEX(M517,1),IF(AND(O517&gt;0,$D$251=8),INDEX(O517,1),IF(AND(Q517&gt;0,$D$251=9),INDEX(Q517,1),IF(AND(S517&gt;0,$D$251=10),INDEX(S517,1),IF(AND(U517&gt;0,$D$251=11),INDEX(U517,1),IF(AND(W517&gt;0,$D$251=12),INDEX(W517,1),IF(AND(Y517&gt;0,$D$251=13),INDEX(Y517,1),IF(AND(AA517&gt;0,$D$251=14),INDEX(AA517,1),IF(AND(AC517&gt;0,$D$251=15),INDEX(AC517,1),IF(AND(AE517&gt;0,$D$251=16),INDEX(AE517,1),0))))))))))))))))</f>
        <v>Leopoldshöhe</v>
      </c>
      <c r="B876" s="1159" t="str">
        <f t="shared" si="109"/>
        <v>II</v>
      </c>
      <c r="C876" s="1160"/>
      <c r="D876" s="1161"/>
      <c r="E876" s="1162"/>
    </row>
    <row r="877" spans="1:5" ht="13.5" hidden="1">
      <c r="A877" s="1159" t="str">
        <f t="shared" si="110"/>
        <v>Leverkusen, Stadt</v>
      </c>
      <c r="B877" s="1159" t="str">
        <f t="shared" ref="B877:B940" si="111">IF(AND(B518&gt;0,$D$251=1),INDEX(B518,1),IF(AND(D518&gt;0,$D$251=2),INDEX(D518,1),IF(AND(F518&gt;0,$D$251=3),INDEX(F518,1),IF(AND(H518&gt;0,$D$251=4),INDEX(H518,1),IF(AND(J518&gt;0,$D$251=5),INDEX(J518,1),IF(AND(L518&gt;0,$D$251=6),INDEX(L518,1),IF(AND(N518&gt;0,$D$251=7),INDEX(N518,1),IF(AND(P518&gt;0,$D$251=8),INDEX(P518,1),IF(AND(R518&gt;0,$D$251=9),INDEX(R518,1),IF(AND(T518&gt;0,$D$251=10),INDEX(T518,1),IF(AND(V518&gt;0,$D$251=11),INDEX(V518,1),IF(AND(X518&gt;0,$D$251=12),INDEX(X518,1),IF(AND(Z518&gt;0,$D$251=13),INDEX(Z518,1),IF(AND(AB518&gt;0,$D$251=14),INDEX(AB518,1),IF(AND(AD518&gt;0,$D$251=15),INDEX(AD518,1),IF(AND(AF518&gt;0,$D$251=16),INDEX(AF518,1),0))))))))))))))))</f>
        <v>IV</v>
      </c>
      <c r="C877" s="1160"/>
      <c r="D877" s="1161"/>
      <c r="E877" s="1162"/>
    </row>
    <row r="878" spans="1:5" ht="13.5" hidden="1">
      <c r="A878" s="1159" t="str">
        <f t="shared" si="110"/>
        <v>Lichtenau, Stadt</v>
      </c>
      <c r="B878" s="1159" t="str">
        <f t="shared" si="111"/>
        <v>I</v>
      </c>
      <c r="C878" s="1160"/>
      <c r="D878" s="1161"/>
      <c r="E878" s="1162"/>
    </row>
    <row r="879" spans="1:5" ht="13.5" hidden="1">
      <c r="A879" s="1159" t="str">
        <f t="shared" si="110"/>
        <v>Lindlar</v>
      </c>
      <c r="B879" s="1159" t="str">
        <f t="shared" si="111"/>
        <v>III</v>
      </c>
      <c r="C879" s="1160"/>
      <c r="D879" s="1161"/>
      <c r="E879" s="1162"/>
    </row>
    <row r="880" spans="1:5" ht="13.5" hidden="1">
      <c r="A880" s="1159" t="str">
        <f t="shared" si="110"/>
        <v>Linnich, Stadt</v>
      </c>
      <c r="B880" s="1159" t="str">
        <f t="shared" si="111"/>
        <v>I</v>
      </c>
      <c r="C880" s="1160"/>
      <c r="D880" s="1161"/>
      <c r="E880" s="1162"/>
    </row>
    <row r="881" spans="1:5" ht="13.5" hidden="1">
      <c r="A881" s="1159" t="str">
        <f t="shared" si="110"/>
        <v>Lippetal</v>
      </c>
      <c r="B881" s="1159" t="str">
        <f t="shared" si="111"/>
        <v>II</v>
      </c>
      <c r="C881" s="1160"/>
      <c r="D881" s="1161"/>
      <c r="E881" s="1162"/>
    </row>
    <row r="882" spans="1:5" ht="13.5" hidden="1">
      <c r="A882" s="1159" t="str">
        <f t="shared" si="110"/>
        <v>Lippstadt, Stadt</v>
      </c>
      <c r="B882" s="1159" t="str">
        <f t="shared" si="111"/>
        <v>II</v>
      </c>
      <c r="C882" s="1160"/>
      <c r="D882" s="1161"/>
      <c r="E882" s="1162"/>
    </row>
    <row r="883" spans="1:5" ht="13.5" hidden="1">
      <c r="A883" s="1159" t="str">
        <f t="shared" si="110"/>
        <v>Lohmar, Stadt</v>
      </c>
      <c r="B883" s="1159" t="str">
        <f t="shared" si="111"/>
        <v>IV</v>
      </c>
      <c r="C883" s="1160"/>
      <c r="D883" s="1161"/>
      <c r="E883" s="1162"/>
    </row>
    <row r="884" spans="1:5" ht="13.5" hidden="1">
      <c r="A884" s="1159" t="str">
        <f t="shared" si="110"/>
        <v>Löhne, Stadt</v>
      </c>
      <c r="B884" s="1159" t="str">
        <f t="shared" si="111"/>
        <v>II</v>
      </c>
      <c r="C884" s="1160"/>
      <c r="D884" s="1161"/>
      <c r="E884" s="1162"/>
    </row>
    <row r="885" spans="1:5" ht="13.5" hidden="1">
      <c r="A885" s="1159" t="str">
        <f t="shared" si="110"/>
        <v>Lotte</v>
      </c>
      <c r="B885" s="1159" t="str">
        <f t="shared" si="111"/>
        <v>II</v>
      </c>
      <c r="C885" s="1160"/>
      <c r="D885" s="1161"/>
      <c r="E885" s="1162"/>
    </row>
    <row r="886" spans="1:5" ht="13.5" hidden="1">
      <c r="A886" s="1159" t="str">
        <f t="shared" si="110"/>
        <v>Lübbecke, Stadt</v>
      </c>
      <c r="B886" s="1159" t="str">
        <f t="shared" si="111"/>
        <v>II</v>
      </c>
      <c r="C886" s="1160"/>
      <c r="D886" s="1161"/>
      <c r="E886" s="1162"/>
    </row>
    <row r="887" spans="1:5" ht="13.5" hidden="1">
      <c r="A887" s="1159" t="str">
        <f t="shared" si="110"/>
        <v>Lüdenscheid, Stadt</v>
      </c>
      <c r="B887" s="1159" t="str">
        <f t="shared" si="111"/>
        <v>III</v>
      </c>
      <c r="C887" s="1160"/>
      <c r="D887" s="1161"/>
      <c r="E887" s="1162"/>
    </row>
    <row r="888" spans="1:5" ht="13.5" hidden="1">
      <c r="A888" s="1159" t="str">
        <f t="shared" si="110"/>
        <v>Lüdinghausen, Stadt</v>
      </c>
      <c r="B888" s="1159" t="str">
        <f t="shared" si="111"/>
        <v>II</v>
      </c>
      <c r="C888" s="1160"/>
      <c r="D888" s="1161"/>
      <c r="E888" s="1162"/>
    </row>
    <row r="889" spans="1:5" ht="13.5" hidden="1">
      <c r="A889" s="1159" t="str">
        <f t="shared" si="110"/>
        <v>Lünen, Stadt</v>
      </c>
      <c r="B889" s="1159" t="str">
        <f t="shared" si="111"/>
        <v>III</v>
      </c>
      <c r="C889" s="1160"/>
      <c r="D889" s="1161"/>
      <c r="E889" s="1162"/>
    </row>
    <row r="890" spans="1:5" ht="13.5" hidden="1">
      <c r="A890" s="1159" t="str">
        <f t="shared" si="110"/>
        <v>Marienheide</v>
      </c>
      <c r="B890" s="1159" t="str">
        <f t="shared" si="111"/>
        <v>III</v>
      </c>
      <c r="C890" s="1160"/>
      <c r="D890" s="1161"/>
      <c r="E890" s="1162"/>
    </row>
    <row r="891" spans="1:5" ht="13.5" hidden="1">
      <c r="A891" s="1159" t="str">
        <f t="shared" si="110"/>
        <v>Marl, Stadt</v>
      </c>
      <c r="B891" s="1159" t="str">
        <f t="shared" si="111"/>
        <v>III</v>
      </c>
      <c r="C891" s="1160"/>
      <c r="D891" s="1161"/>
      <c r="E891" s="1162"/>
    </row>
    <row r="892" spans="1:5" ht="13.5" hidden="1">
      <c r="A892" s="1159" t="str">
        <f t="shared" si="110"/>
        <v>Marsberg, Stadt</v>
      </c>
      <c r="B892" s="1159" t="str">
        <f t="shared" si="111"/>
        <v>I</v>
      </c>
      <c r="C892" s="1160"/>
      <c r="D892" s="1161"/>
      <c r="E892" s="1162"/>
    </row>
    <row r="893" spans="1:5" ht="13.5" hidden="1">
      <c r="A893" s="1159" t="str">
        <f t="shared" si="110"/>
        <v>Mechernich, Stadt</v>
      </c>
      <c r="B893" s="1159" t="str">
        <f t="shared" si="111"/>
        <v>III</v>
      </c>
      <c r="C893" s="1160"/>
      <c r="D893" s="1161"/>
      <c r="E893" s="1162"/>
    </row>
    <row r="894" spans="1:5" ht="13.5" hidden="1">
      <c r="A894" s="1159" t="str">
        <f t="shared" si="110"/>
        <v>Meckenheim, Stadt</v>
      </c>
      <c r="B894" s="1159" t="str">
        <f t="shared" si="111"/>
        <v>IV</v>
      </c>
      <c r="C894" s="1160"/>
      <c r="D894" s="1161"/>
      <c r="E894" s="1162"/>
    </row>
    <row r="895" spans="1:5" ht="13.5" hidden="1">
      <c r="A895" s="1159" t="str">
        <f t="shared" si="110"/>
        <v>Meerbusch, Stadt</v>
      </c>
      <c r="B895" s="1159" t="str">
        <f t="shared" si="111"/>
        <v>V</v>
      </c>
      <c r="C895" s="1160"/>
      <c r="D895" s="1161"/>
      <c r="E895" s="1162"/>
    </row>
    <row r="896" spans="1:5" ht="13.5" hidden="1">
      <c r="A896" s="1159" t="str">
        <f t="shared" si="110"/>
        <v>Meinerzhagen, Stadt</v>
      </c>
      <c r="B896" s="1159" t="str">
        <f t="shared" si="111"/>
        <v>II</v>
      </c>
      <c r="C896" s="1160"/>
      <c r="D896" s="1161"/>
      <c r="E896" s="1162"/>
    </row>
    <row r="897" spans="1:5" ht="13.5" hidden="1">
      <c r="A897" s="1159" t="str">
        <f t="shared" si="110"/>
        <v>Menden (Sauerland), Stadt</v>
      </c>
      <c r="B897" s="1159" t="str">
        <f t="shared" si="111"/>
        <v>III</v>
      </c>
      <c r="C897" s="1160"/>
      <c r="D897" s="1161"/>
      <c r="E897" s="1162"/>
    </row>
    <row r="898" spans="1:5" ht="13.5" hidden="1">
      <c r="A898" s="1159" t="str">
        <f t="shared" si="110"/>
        <v>Meschede, Stadt</v>
      </c>
      <c r="B898" s="1159" t="str">
        <f t="shared" si="111"/>
        <v>II</v>
      </c>
      <c r="C898" s="1160"/>
      <c r="D898" s="1161"/>
      <c r="E898" s="1162"/>
    </row>
    <row r="899" spans="1:5" ht="13.5" hidden="1">
      <c r="A899" s="1159" t="str">
        <f t="shared" si="110"/>
        <v>Mettingen</v>
      </c>
      <c r="B899" s="1159" t="str">
        <f t="shared" si="111"/>
        <v>I</v>
      </c>
      <c r="C899" s="1160"/>
      <c r="D899" s="1161"/>
      <c r="E899" s="1162"/>
    </row>
    <row r="900" spans="1:5" ht="13.5" hidden="1">
      <c r="A900" s="1159" t="str">
        <f t="shared" si="110"/>
        <v>Mettmann, Stadt</v>
      </c>
      <c r="B900" s="1159" t="str">
        <f t="shared" si="111"/>
        <v>IV</v>
      </c>
      <c r="C900" s="1160"/>
      <c r="D900" s="1161"/>
      <c r="E900" s="1162"/>
    </row>
    <row r="901" spans="1:5" ht="13.5" hidden="1">
      <c r="A901" s="1159" t="str">
        <f t="shared" si="110"/>
        <v>Minden, Stadt</v>
      </c>
      <c r="B901" s="1159" t="str">
        <f t="shared" si="111"/>
        <v>II</v>
      </c>
      <c r="C901" s="1160"/>
      <c r="D901" s="1161"/>
      <c r="E901" s="1162"/>
    </row>
    <row r="902" spans="1:5" ht="13.5" hidden="1">
      <c r="A902" s="1159" t="str">
        <f t="shared" si="110"/>
        <v>Moers, Stadt</v>
      </c>
      <c r="B902" s="1159" t="str">
        <f t="shared" si="111"/>
        <v>III</v>
      </c>
      <c r="C902" s="1160"/>
      <c r="D902" s="1161"/>
      <c r="E902" s="1162"/>
    </row>
    <row r="903" spans="1:5" ht="13.5" hidden="1">
      <c r="A903" s="1159" t="str">
        <f t="shared" si="110"/>
        <v>Möhnesee</v>
      </c>
      <c r="B903" s="1159" t="str">
        <f t="shared" si="111"/>
        <v>I</v>
      </c>
      <c r="C903" s="1160"/>
      <c r="D903" s="1161"/>
      <c r="E903" s="1162"/>
    </row>
    <row r="904" spans="1:5" ht="13.5" hidden="1">
      <c r="A904" s="1159" t="str">
        <f t="shared" si="110"/>
        <v>Mönchengladbach, Stadt</v>
      </c>
      <c r="B904" s="1159" t="str">
        <f t="shared" si="111"/>
        <v>III</v>
      </c>
      <c r="C904" s="1160"/>
      <c r="D904" s="1161"/>
      <c r="E904" s="1162"/>
    </row>
    <row r="905" spans="1:5" ht="13.5" hidden="1">
      <c r="A905" s="1159" t="str">
        <f t="shared" si="110"/>
        <v>Monheim am Rhein, Stadt</v>
      </c>
      <c r="B905" s="1159" t="str">
        <f t="shared" si="111"/>
        <v>V</v>
      </c>
      <c r="C905" s="1160"/>
      <c r="D905" s="1161"/>
      <c r="E905" s="1162"/>
    </row>
    <row r="906" spans="1:5" ht="13.5" hidden="1">
      <c r="A906" s="1159" t="str">
        <f t="shared" si="110"/>
        <v>Monschau, Stadt</v>
      </c>
      <c r="B906" s="1159" t="str">
        <f t="shared" si="111"/>
        <v>II</v>
      </c>
      <c r="C906" s="1160"/>
      <c r="D906" s="1161"/>
      <c r="E906" s="1162"/>
    </row>
    <row r="907" spans="1:5" ht="13.5" hidden="1">
      <c r="A907" s="1159" t="str">
        <f t="shared" si="110"/>
        <v>Morsbach</v>
      </c>
      <c r="B907" s="1159" t="str">
        <f t="shared" si="111"/>
        <v>II</v>
      </c>
      <c r="C907" s="1160"/>
      <c r="D907" s="1161"/>
      <c r="E907" s="1162"/>
    </row>
    <row r="908" spans="1:5" ht="13.5" hidden="1">
      <c r="A908" s="1159" t="str">
        <f t="shared" si="110"/>
        <v>Much</v>
      </c>
      <c r="B908" s="1159" t="str">
        <f t="shared" si="111"/>
        <v>III</v>
      </c>
      <c r="C908" s="1160"/>
      <c r="D908" s="1161"/>
      <c r="E908" s="1162"/>
    </row>
    <row r="909" spans="1:5" ht="13.5" hidden="1">
      <c r="A909" s="1159" t="str">
        <f t="shared" si="110"/>
        <v>Mülheim an der Ruhr, Stadt</v>
      </c>
      <c r="B909" s="1159" t="str">
        <f t="shared" si="111"/>
        <v>III</v>
      </c>
      <c r="C909" s="1160"/>
      <c r="D909" s="1161"/>
      <c r="E909" s="1162"/>
    </row>
    <row r="910" spans="1:5" ht="13.5" hidden="1">
      <c r="A910" s="1159" t="str">
        <f t="shared" si="110"/>
        <v>Münster, Stadt</v>
      </c>
      <c r="B910" s="1159" t="str">
        <f t="shared" si="111"/>
        <v>IV</v>
      </c>
      <c r="C910" s="1160"/>
      <c r="D910" s="1161"/>
      <c r="E910" s="1162"/>
    </row>
    <row r="911" spans="1:5" ht="13.5" hidden="1">
      <c r="A911" s="1159" t="str">
        <f t="shared" si="110"/>
        <v>Netphen</v>
      </c>
      <c r="B911" s="1159" t="str">
        <f t="shared" si="111"/>
        <v>II</v>
      </c>
      <c r="C911" s="1160"/>
      <c r="D911" s="1161"/>
      <c r="E911" s="1162"/>
    </row>
    <row r="912" spans="1:5" ht="13.5" hidden="1">
      <c r="A912" s="1159" t="str">
        <f t="shared" si="110"/>
        <v>Nettetal, Stadt</v>
      </c>
      <c r="B912" s="1159" t="str">
        <f t="shared" si="111"/>
        <v>III</v>
      </c>
      <c r="C912" s="1160"/>
      <c r="D912" s="1161"/>
      <c r="E912" s="1162"/>
    </row>
    <row r="913" spans="1:5" ht="13.5" hidden="1">
      <c r="A913" s="1159" t="str">
        <f t="shared" si="110"/>
        <v>Neuenkirchen</v>
      </c>
      <c r="B913" s="1159" t="str">
        <f t="shared" si="111"/>
        <v>II</v>
      </c>
      <c r="C913" s="1160"/>
      <c r="D913" s="1161"/>
      <c r="E913" s="1162"/>
    </row>
    <row r="914" spans="1:5" ht="13.5" hidden="1">
      <c r="A914" s="1159" t="str">
        <f t="shared" si="110"/>
        <v>Neuenrade, Stadt</v>
      </c>
      <c r="B914" s="1159" t="str">
        <f t="shared" si="111"/>
        <v>III</v>
      </c>
      <c r="C914" s="1160"/>
      <c r="D914" s="1161"/>
      <c r="E914" s="1162"/>
    </row>
    <row r="915" spans="1:5" ht="13.5" hidden="1">
      <c r="A915" s="1159" t="str">
        <f t="shared" si="110"/>
        <v>Neukirchen-Vluyn, Stadt</v>
      </c>
      <c r="B915" s="1159" t="str">
        <f t="shared" si="111"/>
        <v>III</v>
      </c>
      <c r="C915" s="1160"/>
      <c r="D915" s="1161"/>
      <c r="E915" s="1162"/>
    </row>
    <row r="916" spans="1:5" ht="13.5" hidden="1">
      <c r="A916" s="1159" t="str">
        <f t="shared" si="110"/>
        <v>Neunkirchen</v>
      </c>
      <c r="B916" s="1159" t="str">
        <f t="shared" si="111"/>
        <v>II</v>
      </c>
      <c r="C916" s="1160"/>
      <c r="D916" s="1161"/>
      <c r="E916" s="1162"/>
    </row>
    <row r="917" spans="1:5" ht="13.5" hidden="1">
      <c r="A917" s="1159" t="str">
        <f t="shared" si="110"/>
        <v>Neunkirchen-Seelscheid</v>
      </c>
      <c r="B917" s="1159" t="str">
        <f t="shared" si="111"/>
        <v>III</v>
      </c>
      <c r="C917" s="1160"/>
      <c r="D917" s="1161"/>
      <c r="E917" s="1162"/>
    </row>
    <row r="918" spans="1:5" ht="13.5" hidden="1">
      <c r="A918" s="1159" t="str">
        <f t="shared" si="110"/>
        <v>Neuss, Stadt</v>
      </c>
      <c r="B918" s="1159" t="str">
        <f t="shared" si="111"/>
        <v>V</v>
      </c>
      <c r="C918" s="1160"/>
      <c r="D918" s="1161"/>
      <c r="E918" s="1162"/>
    </row>
    <row r="919" spans="1:5" ht="13.5" hidden="1">
      <c r="A919" s="1159" t="str">
        <f t="shared" si="110"/>
        <v>Niederkassel, Stadt</v>
      </c>
      <c r="B919" s="1159" t="str">
        <f t="shared" si="111"/>
        <v>IV</v>
      </c>
      <c r="C919" s="1160"/>
      <c r="D919" s="1161"/>
      <c r="E919" s="1162"/>
    </row>
    <row r="920" spans="1:5" ht="13.5" hidden="1">
      <c r="A920" s="1159" t="str">
        <f t="shared" si="110"/>
        <v>Niederkrüchten</v>
      </c>
      <c r="B920" s="1159" t="str">
        <f t="shared" si="111"/>
        <v>III</v>
      </c>
      <c r="C920" s="1160"/>
      <c r="D920" s="1161"/>
      <c r="E920" s="1162"/>
    </row>
    <row r="921" spans="1:5" ht="13.5" hidden="1">
      <c r="A921" s="1159" t="str">
        <f t="shared" si="110"/>
        <v>Niederzier</v>
      </c>
      <c r="B921" s="1159" t="str">
        <f t="shared" si="111"/>
        <v>II</v>
      </c>
      <c r="C921" s="1160"/>
      <c r="D921" s="1161"/>
      <c r="E921" s="1162"/>
    </row>
    <row r="922" spans="1:5" ht="13.5" hidden="1">
      <c r="A922" s="1159" t="str">
        <f t="shared" si="110"/>
        <v>Nörvenich</v>
      </c>
      <c r="B922" s="1159" t="str">
        <f t="shared" si="111"/>
        <v>II</v>
      </c>
      <c r="C922" s="1160"/>
      <c r="D922" s="1161"/>
      <c r="E922" s="1162"/>
    </row>
    <row r="923" spans="1:5" ht="13.5" hidden="1">
      <c r="A923" s="1159" t="str">
        <f t="shared" si="110"/>
        <v>Nottuln</v>
      </c>
      <c r="B923" s="1159" t="str">
        <f t="shared" si="111"/>
        <v>III</v>
      </c>
      <c r="C923" s="1160"/>
      <c r="D923" s="1161"/>
      <c r="E923" s="1162"/>
    </row>
    <row r="924" spans="1:5" ht="13.5" hidden="1">
      <c r="A924" s="1159" t="str">
        <f t="shared" si="110"/>
        <v>Nümbrecht</v>
      </c>
      <c r="B924" s="1159" t="str">
        <f t="shared" si="111"/>
        <v>II</v>
      </c>
      <c r="C924" s="1160"/>
      <c r="D924" s="1161"/>
      <c r="E924" s="1162"/>
    </row>
    <row r="925" spans="1:5" ht="13.5" hidden="1">
      <c r="A925" s="1159" t="str">
        <f t="shared" si="110"/>
        <v>Oberhausen, Stadt</v>
      </c>
      <c r="B925" s="1159" t="str">
        <f t="shared" si="111"/>
        <v>III</v>
      </c>
      <c r="C925" s="1160"/>
      <c r="D925" s="1161"/>
      <c r="E925" s="1162"/>
    </row>
    <row r="926" spans="1:5" ht="13.5" hidden="1">
      <c r="A926" s="1159" t="str">
        <f t="shared" si="110"/>
        <v>Ochtrup, Stadt</v>
      </c>
      <c r="B926" s="1159" t="str">
        <f t="shared" si="111"/>
        <v>I</v>
      </c>
      <c r="C926" s="1160"/>
      <c r="D926" s="1161"/>
      <c r="E926" s="1162"/>
    </row>
    <row r="927" spans="1:5" ht="13.5" hidden="1">
      <c r="A927" s="1159" t="str">
        <f t="shared" si="110"/>
        <v>Odenthal</v>
      </c>
      <c r="B927" s="1159" t="str">
        <f t="shared" si="111"/>
        <v>IV</v>
      </c>
      <c r="C927" s="1160"/>
      <c r="D927" s="1161"/>
      <c r="E927" s="1162"/>
    </row>
    <row r="928" spans="1:5" ht="13.5" hidden="1">
      <c r="A928" s="1159" t="str">
        <f t="shared" si="110"/>
        <v>Oelde, Stadt</v>
      </c>
      <c r="B928" s="1159" t="str">
        <f t="shared" si="111"/>
        <v>II</v>
      </c>
      <c r="C928" s="1160"/>
      <c r="D928" s="1161"/>
      <c r="E928" s="1162"/>
    </row>
    <row r="929" spans="1:5" ht="13.5" hidden="1">
      <c r="A929" s="1159" t="str">
        <f t="shared" si="110"/>
        <v>Oer-Erkenschwick, Stadt</v>
      </c>
      <c r="B929" s="1159" t="str">
        <f t="shared" si="111"/>
        <v>III</v>
      </c>
      <c r="C929" s="1160"/>
      <c r="D929" s="1161"/>
      <c r="E929" s="1162"/>
    </row>
    <row r="930" spans="1:5" ht="13.5" hidden="1">
      <c r="A930" s="1159" t="str">
        <f t="shared" si="110"/>
        <v>Olfen, Stadt</v>
      </c>
      <c r="B930" s="1159" t="str">
        <f t="shared" si="111"/>
        <v>III</v>
      </c>
      <c r="C930" s="1160"/>
      <c r="D930" s="1161"/>
      <c r="E930" s="1162"/>
    </row>
    <row r="931" spans="1:5" ht="13.5" hidden="1">
      <c r="A931" s="1159" t="str">
        <f t="shared" si="110"/>
        <v>Olpe, Stadt</v>
      </c>
      <c r="B931" s="1159" t="str">
        <f t="shared" si="111"/>
        <v>II</v>
      </c>
      <c r="C931" s="1160"/>
      <c r="D931" s="1161"/>
      <c r="E931" s="1162"/>
    </row>
    <row r="932" spans="1:5" ht="13.5" hidden="1">
      <c r="A932" s="1159" t="str">
        <f t="shared" si="110"/>
        <v>Olsberg, Stadt</v>
      </c>
      <c r="B932" s="1159" t="str">
        <f t="shared" si="111"/>
        <v>I</v>
      </c>
      <c r="C932" s="1160"/>
      <c r="D932" s="1161"/>
      <c r="E932" s="1162"/>
    </row>
    <row r="933" spans="1:5" ht="13.5" hidden="1">
      <c r="A933" s="1159" t="str">
        <f t="shared" si="110"/>
        <v>Örlinghausen, Stadt</v>
      </c>
      <c r="B933" s="1159" t="str">
        <f t="shared" si="111"/>
        <v>II</v>
      </c>
      <c r="C933" s="1160"/>
      <c r="D933" s="1161"/>
      <c r="E933" s="1162"/>
    </row>
    <row r="934" spans="1:5" ht="13.5" hidden="1">
      <c r="A934" s="1159" t="str">
        <f t="shared" si="110"/>
        <v>Ostbevern</v>
      </c>
      <c r="B934" s="1159" t="str">
        <f t="shared" si="111"/>
        <v>II</v>
      </c>
      <c r="C934" s="1160"/>
      <c r="D934" s="1161"/>
      <c r="E934" s="1162"/>
    </row>
    <row r="935" spans="1:5" ht="13.5" hidden="1">
      <c r="A935" s="1159" t="str">
        <f t="shared" si="110"/>
        <v>Overath</v>
      </c>
      <c r="B935" s="1159" t="str">
        <f t="shared" si="111"/>
        <v>IV</v>
      </c>
      <c r="C935" s="1160"/>
      <c r="D935" s="1161"/>
      <c r="E935" s="1162"/>
    </row>
    <row r="936" spans="1:5" ht="13.5" hidden="1">
      <c r="A936" s="1159" t="str">
        <f t="shared" si="110"/>
        <v>Paderborn, Stadt</v>
      </c>
      <c r="B936" s="1159" t="str">
        <f t="shared" si="111"/>
        <v>II</v>
      </c>
      <c r="C936" s="1160"/>
      <c r="D936" s="1161"/>
      <c r="E936" s="1162"/>
    </row>
    <row r="937" spans="1:5" ht="13.5" hidden="1">
      <c r="A937" s="1159" t="str">
        <f t="shared" si="110"/>
        <v>Petershagen, Stadt</v>
      </c>
      <c r="B937" s="1159" t="str">
        <f t="shared" si="111"/>
        <v>I</v>
      </c>
      <c r="C937" s="1160"/>
      <c r="D937" s="1161"/>
      <c r="E937" s="1162"/>
    </row>
    <row r="938" spans="1:5" ht="13.5" hidden="1">
      <c r="A938" s="1159" t="str">
        <f t="shared" si="110"/>
        <v>Plettenberg, Stadt</v>
      </c>
      <c r="B938" s="1159" t="str">
        <f t="shared" si="111"/>
        <v>II</v>
      </c>
      <c r="C938" s="1160"/>
      <c r="D938" s="1161"/>
      <c r="E938" s="1162"/>
    </row>
    <row r="939" spans="1:5" ht="13.5" hidden="1">
      <c r="A939" s="1159" t="str">
        <f t="shared" si="110"/>
        <v>Porta Westfalica, Stadt</v>
      </c>
      <c r="B939" s="1159" t="str">
        <f t="shared" si="111"/>
        <v>I</v>
      </c>
      <c r="C939" s="1160"/>
      <c r="D939" s="1161"/>
      <c r="E939" s="1162"/>
    </row>
    <row r="940" spans="1:5" ht="13.5" hidden="1">
      <c r="A940" s="1159" t="str">
        <f t="shared" ref="A940:A1003" si="112">IF(AND(A581&gt;0,$D$251=1),INDEX(A581,1),IF(AND(C581&gt;0,$D$251=2),INDEX(C581,1),IF(AND(E581&gt;0,$D$251=3),INDEX(E581,1),IF(AND(G581&gt;0,$D$251=4),INDEX(G581,1),IF(AND(I581&gt;0,$D$251=5),INDEX(I581,1),IF(AND(K581&gt;0,$D$251=6),INDEX(K581,1),IF(AND(M581&gt;0,$D$251=7),INDEX(M581,1),IF(AND(O581&gt;0,$D$251=8),INDEX(O581,1),IF(AND(Q581&gt;0,$D$251=9),INDEX(Q581,1),IF(AND(S581&gt;0,$D$251=10),INDEX(S581,1),IF(AND(U581&gt;0,$D$251=11),INDEX(U581,1),IF(AND(W581&gt;0,$D$251=12),INDEX(W581,1),IF(AND(Y581&gt;0,$D$251=13),INDEX(Y581,1),IF(AND(AA581&gt;0,$D$251=14),INDEX(AA581,1),IF(AND(AC581&gt;0,$D$251=15),INDEX(AC581,1),IF(AND(AE581&gt;0,$D$251=16),INDEX(AE581,1),0))))))))))))))))</f>
        <v>Preussisch Oldendorf, Stadt</v>
      </c>
      <c r="B940" s="1159" t="str">
        <f t="shared" si="111"/>
        <v>I</v>
      </c>
      <c r="C940" s="1160"/>
      <c r="D940" s="1161"/>
      <c r="E940" s="1162"/>
    </row>
    <row r="941" spans="1:5" ht="13.5" hidden="1">
      <c r="A941" s="1159" t="str">
        <f t="shared" si="112"/>
        <v>Pulheim, Stadt</v>
      </c>
      <c r="B941" s="1159" t="str">
        <f t="shared" ref="B941:B1004" si="113">IF(AND(B582&gt;0,$D$251=1),INDEX(B582,1),IF(AND(D582&gt;0,$D$251=2),INDEX(D582,1),IF(AND(F582&gt;0,$D$251=3),INDEX(F582,1),IF(AND(H582&gt;0,$D$251=4),INDEX(H582,1),IF(AND(J582&gt;0,$D$251=5),INDEX(J582,1),IF(AND(L582&gt;0,$D$251=6),INDEX(L582,1),IF(AND(N582&gt;0,$D$251=7),INDEX(N582,1),IF(AND(P582&gt;0,$D$251=8),INDEX(P582,1),IF(AND(R582&gt;0,$D$251=9),INDEX(R582,1),IF(AND(T582&gt;0,$D$251=10),INDEX(T582,1),IF(AND(V582&gt;0,$D$251=11),INDEX(V582,1),IF(AND(X582&gt;0,$D$251=12),INDEX(X582,1),IF(AND(Z582&gt;0,$D$251=13),INDEX(Z582,1),IF(AND(AB582&gt;0,$D$251=14),INDEX(AB582,1),IF(AND(AD582&gt;0,$D$251=15),INDEX(AD582,1),IF(AND(AF582&gt;0,$D$251=16),INDEX(AF582,1),0))))))))))))))))</f>
        <v>V</v>
      </c>
      <c r="C941" s="1160"/>
      <c r="D941" s="1161"/>
      <c r="E941" s="1162"/>
    </row>
    <row r="942" spans="1:5" ht="13.5" hidden="1">
      <c r="A942" s="1159" t="str">
        <f t="shared" si="112"/>
        <v>Radevormwald, Stadt</v>
      </c>
      <c r="B942" s="1159" t="str">
        <f t="shared" si="113"/>
        <v>III</v>
      </c>
      <c r="C942" s="1160"/>
      <c r="D942" s="1161"/>
      <c r="E942" s="1162"/>
    </row>
    <row r="943" spans="1:5" ht="13.5" hidden="1">
      <c r="A943" s="1159" t="str">
        <f t="shared" si="112"/>
        <v>Raesfeld</v>
      </c>
      <c r="B943" s="1159" t="str">
        <f t="shared" si="113"/>
        <v>II</v>
      </c>
      <c r="C943" s="1160"/>
      <c r="D943" s="1161"/>
      <c r="E943" s="1162"/>
    </row>
    <row r="944" spans="1:5" ht="13.5" hidden="1">
      <c r="A944" s="1159" t="str">
        <f t="shared" si="112"/>
        <v>Rahden, Stadt</v>
      </c>
      <c r="B944" s="1159" t="str">
        <f t="shared" si="113"/>
        <v>I</v>
      </c>
      <c r="C944" s="1160"/>
      <c r="D944" s="1161"/>
      <c r="E944" s="1162"/>
    </row>
    <row r="945" spans="1:5" ht="13.5" hidden="1">
      <c r="A945" s="1159" t="str">
        <f t="shared" si="112"/>
        <v>Ratingen, Stadt</v>
      </c>
      <c r="B945" s="1159" t="str">
        <f t="shared" si="113"/>
        <v>V</v>
      </c>
      <c r="C945" s="1160"/>
      <c r="D945" s="1161"/>
      <c r="E945" s="1162"/>
    </row>
    <row r="946" spans="1:5" ht="13.5" hidden="1">
      <c r="A946" s="1159" t="str">
        <f t="shared" si="112"/>
        <v>Recke</v>
      </c>
      <c r="B946" s="1159" t="str">
        <f t="shared" si="113"/>
        <v>I</v>
      </c>
      <c r="C946" s="1160"/>
      <c r="D946" s="1161"/>
      <c r="E946" s="1162"/>
    </row>
    <row r="947" spans="1:5" ht="13.5" hidden="1">
      <c r="A947" s="1159" t="str">
        <f t="shared" si="112"/>
        <v>Recklinghausen, Stadt</v>
      </c>
      <c r="B947" s="1159" t="str">
        <f t="shared" si="113"/>
        <v>III</v>
      </c>
      <c r="C947" s="1160"/>
      <c r="D947" s="1161"/>
      <c r="E947" s="1162"/>
    </row>
    <row r="948" spans="1:5" ht="13.5" hidden="1">
      <c r="A948" s="1159" t="str">
        <f t="shared" si="112"/>
        <v>Rees, Stadt</v>
      </c>
      <c r="B948" s="1159" t="str">
        <f t="shared" si="113"/>
        <v>II</v>
      </c>
      <c r="C948" s="1160"/>
      <c r="D948" s="1161"/>
      <c r="E948" s="1162"/>
    </row>
    <row r="949" spans="1:5" ht="13.5" hidden="1">
      <c r="A949" s="1159" t="str">
        <f t="shared" si="112"/>
        <v>Reichshof</v>
      </c>
      <c r="B949" s="1159" t="str">
        <f t="shared" si="113"/>
        <v>II</v>
      </c>
      <c r="C949" s="1160"/>
      <c r="D949" s="1161"/>
      <c r="E949" s="1162"/>
    </row>
    <row r="950" spans="1:5" ht="13.5" hidden="1">
      <c r="A950" s="1159" t="str">
        <f t="shared" si="112"/>
        <v>Reken</v>
      </c>
      <c r="B950" s="1159" t="str">
        <f t="shared" si="113"/>
        <v>I</v>
      </c>
      <c r="C950" s="1160"/>
      <c r="D950" s="1161"/>
      <c r="E950" s="1162"/>
    </row>
    <row r="951" spans="1:5" ht="13.5" hidden="1">
      <c r="A951" s="1159" t="str">
        <f t="shared" si="112"/>
        <v>Remscheid, Stadt</v>
      </c>
      <c r="B951" s="1159" t="str">
        <f t="shared" si="113"/>
        <v>III</v>
      </c>
      <c r="C951" s="1160"/>
      <c r="D951" s="1161"/>
      <c r="E951" s="1162"/>
    </row>
    <row r="952" spans="1:5" ht="13.5" hidden="1">
      <c r="A952" s="1159" t="str">
        <f t="shared" si="112"/>
        <v>Rheda-Wiedenbrück, Stadt</v>
      </c>
      <c r="B952" s="1159" t="str">
        <f t="shared" si="113"/>
        <v>III</v>
      </c>
      <c r="C952" s="1160"/>
      <c r="D952" s="1161"/>
      <c r="E952" s="1162"/>
    </row>
    <row r="953" spans="1:5" ht="13.5" hidden="1">
      <c r="A953" s="1159" t="str">
        <f t="shared" si="112"/>
        <v>Rhede, Stadt</v>
      </c>
      <c r="B953" s="1159" t="str">
        <f t="shared" si="113"/>
        <v>III</v>
      </c>
      <c r="C953" s="1160"/>
      <c r="D953" s="1161"/>
      <c r="E953" s="1162"/>
    </row>
    <row r="954" spans="1:5" ht="13.5" hidden="1">
      <c r="A954" s="1159" t="str">
        <f t="shared" si="112"/>
        <v>Rheinbach, Stadt</v>
      </c>
      <c r="B954" s="1159" t="str">
        <f t="shared" si="113"/>
        <v>III</v>
      </c>
      <c r="C954" s="1160"/>
      <c r="D954" s="1161"/>
      <c r="E954" s="1162"/>
    </row>
    <row r="955" spans="1:5" ht="13.5" hidden="1">
      <c r="A955" s="1159" t="str">
        <f t="shared" si="112"/>
        <v>Rheinberg, Stadt</v>
      </c>
      <c r="B955" s="1159" t="str">
        <f t="shared" si="113"/>
        <v>III</v>
      </c>
      <c r="C955" s="1160"/>
      <c r="D955" s="1161"/>
      <c r="E955" s="1162"/>
    </row>
    <row r="956" spans="1:5" ht="13.5" hidden="1">
      <c r="A956" s="1159" t="str">
        <f t="shared" si="112"/>
        <v>Rheine, Stadt</v>
      </c>
      <c r="B956" s="1159" t="str">
        <f t="shared" si="113"/>
        <v>II</v>
      </c>
      <c r="C956" s="1160"/>
      <c r="D956" s="1161"/>
      <c r="E956" s="1162"/>
    </row>
    <row r="957" spans="1:5" ht="13.5" hidden="1">
      <c r="A957" s="1159" t="str">
        <f t="shared" si="112"/>
        <v>Rietberg, Stadt</v>
      </c>
      <c r="B957" s="1159" t="str">
        <f t="shared" si="113"/>
        <v>II</v>
      </c>
      <c r="C957" s="1160"/>
      <c r="D957" s="1161"/>
      <c r="E957" s="1162"/>
    </row>
    <row r="958" spans="1:5" ht="13.5" hidden="1">
      <c r="A958" s="1159" t="str">
        <f t="shared" si="112"/>
        <v>Rommerskirchen</v>
      </c>
      <c r="B958" s="1159" t="str">
        <f t="shared" si="113"/>
        <v>III</v>
      </c>
      <c r="C958" s="1160"/>
      <c r="D958" s="1161"/>
      <c r="E958" s="1162"/>
    </row>
    <row r="959" spans="1:5" ht="13.5" hidden="1">
      <c r="A959" s="1159" t="str">
        <f t="shared" si="112"/>
        <v>Rosendahl</v>
      </c>
      <c r="B959" s="1159" t="str">
        <f t="shared" si="113"/>
        <v>I</v>
      </c>
      <c r="C959" s="1160"/>
      <c r="D959" s="1161"/>
      <c r="E959" s="1162"/>
    </row>
    <row r="960" spans="1:5" ht="13.5" hidden="1">
      <c r="A960" s="1159" t="str">
        <f t="shared" si="112"/>
        <v>Rösrath</v>
      </c>
      <c r="B960" s="1159" t="str">
        <f t="shared" si="113"/>
        <v>V</v>
      </c>
      <c r="C960" s="1160"/>
      <c r="D960" s="1161"/>
      <c r="E960" s="1162"/>
    </row>
    <row r="961" spans="1:5" ht="13.5" hidden="1">
      <c r="A961" s="1159" t="str">
        <f t="shared" si="112"/>
        <v>Ruppichteroth</v>
      </c>
      <c r="B961" s="1159" t="str">
        <f t="shared" si="113"/>
        <v>II</v>
      </c>
      <c r="C961" s="1160"/>
      <c r="D961" s="1161"/>
      <c r="E961" s="1162"/>
    </row>
    <row r="962" spans="1:5" ht="13.5" hidden="1">
      <c r="A962" s="1159" t="str">
        <f t="shared" si="112"/>
        <v>Rüthen, Stadt</v>
      </c>
      <c r="B962" s="1159" t="str">
        <f t="shared" si="113"/>
        <v>I</v>
      </c>
      <c r="C962" s="1160"/>
      <c r="D962" s="1161"/>
      <c r="E962" s="1162"/>
    </row>
    <row r="963" spans="1:5" ht="13.5" hidden="1">
      <c r="A963" s="1159" t="str">
        <f t="shared" si="112"/>
        <v>Salzkotten, Stadt</v>
      </c>
      <c r="B963" s="1159" t="str">
        <f t="shared" si="113"/>
        <v>I</v>
      </c>
      <c r="C963" s="1160"/>
      <c r="D963" s="1161"/>
      <c r="E963" s="1162"/>
    </row>
    <row r="964" spans="1:5" ht="13.5" hidden="1">
      <c r="A964" s="1159" t="str">
        <f t="shared" si="112"/>
        <v>Sankt Augustin, Stadt</v>
      </c>
      <c r="B964" s="1159" t="str">
        <f t="shared" si="113"/>
        <v>IV</v>
      </c>
      <c r="C964" s="1160"/>
      <c r="D964" s="1161"/>
      <c r="E964" s="1162"/>
    </row>
    <row r="965" spans="1:5" ht="13.5" hidden="1">
      <c r="A965" s="1159" t="str">
        <f t="shared" si="112"/>
        <v>Sassenberg, Stadt</v>
      </c>
      <c r="B965" s="1159" t="str">
        <f t="shared" si="113"/>
        <v>II</v>
      </c>
      <c r="C965" s="1160"/>
      <c r="D965" s="1161"/>
      <c r="E965" s="1162"/>
    </row>
    <row r="966" spans="1:5" ht="13.5" hidden="1">
      <c r="A966" s="1159" t="str">
        <f t="shared" si="112"/>
        <v>Schalksmühle</v>
      </c>
      <c r="B966" s="1159" t="str">
        <f t="shared" si="113"/>
        <v>II</v>
      </c>
      <c r="C966" s="1160"/>
      <c r="D966" s="1161"/>
      <c r="E966" s="1162"/>
    </row>
    <row r="967" spans="1:5" ht="13.5" hidden="1">
      <c r="A967" s="1159" t="str">
        <f t="shared" si="112"/>
        <v>Schermbeck</v>
      </c>
      <c r="B967" s="1159" t="str">
        <f t="shared" si="113"/>
        <v>III</v>
      </c>
      <c r="C967" s="1160"/>
      <c r="D967" s="1161"/>
      <c r="E967" s="1162"/>
    </row>
    <row r="968" spans="1:5" ht="13.5" hidden="1">
      <c r="A968" s="1159" t="str">
        <f t="shared" si="112"/>
        <v>Schleiden, Stadt</v>
      </c>
      <c r="B968" s="1159" t="str">
        <f t="shared" si="113"/>
        <v>I</v>
      </c>
      <c r="C968" s="1160"/>
      <c r="D968" s="1161"/>
      <c r="E968" s="1162"/>
    </row>
    <row r="969" spans="1:5" ht="13.5" hidden="1">
      <c r="A969" s="1159" t="str">
        <f t="shared" si="112"/>
        <v>Schloß Holte-Stukenbrock</v>
      </c>
      <c r="B969" s="1159" t="str">
        <f t="shared" si="113"/>
        <v>II</v>
      </c>
      <c r="C969" s="1160"/>
      <c r="D969" s="1161"/>
      <c r="E969" s="1162"/>
    </row>
    <row r="970" spans="1:5" ht="13.5" hidden="1">
      <c r="A970" s="1159" t="str">
        <f t="shared" si="112"/>
        <v>Schmallenberg, Stadt</v>
      </c>
      <c r="B970" s="1159" t="str">
        <f t="shared" si="113"/>
        <v>I</v>
      </c>
      <c r="C970" s="1160"/>
      <c r="D970" s="1161"/>
      <c r="E970" s="1162"/>
    </row>
    <row r="971" spans="1:5" ht="13.5" hidden="1">
      <c r="A971" s="1159" t="str">
        <f t="shared" si="112"/>
        <v>Schwalmtal</v>
      </c>
      <c r="B971" s="1159" t="str">
        <f t="shared" si="113"/>
        <v>III</v>
      </c>
      <c r="C971" s="1160"/>
      <c r="D971" s="1161"/>
      <c r="E971" s="1162"/>
    </row>
    <row r="972" spans="1:5" ht="13.5" hidden="1">
      <c r="A972" s="1159" t="str">
        <f t="shared" si="112"/>
        <v>Schwelm, Stadt</v>
      </c>
      <c r="B972" s="1159" t="str">
        <f t="shared" si="113"/>
        <v>III</v>
      </c>
      <c r="C972" s="1160"/>
      <c r="D972" s="1161"/>
      <c r="E972" s="1162"/>
    </row>
    <row r="973" spans="1:5" ht="13.5" hidden="1">
      <c r="A973" s="1159" t="str">
        <f t="shared" si="112"/>
        <v>Schwerte, Stadt</v>
      </c>
      <c r="B973" s="1159" t="str">
        <f t="shared" si="113"/>
        <v>III</v>
      </c>
      <c r="C973" s="1160"/>
      <c r="D973" s="1161"/>
      <c r="E973" s="1162"/>
    </row>
    <row r="974" spans="1:5" ht="13.5" hidden="1">
      <c r="A974" s="1159" t="str">
        <f t="shared" si="112"/>
        <v>Selm, Stadt</v>
      </c>
      <c r="B974" s="1159" t="str">
        <f t="shared" si="113"/>
        <v>III</v>
      </c>
      <c r="C974" s="1160"/>
      <c r="D974" s="1161"/>
      <c r="E974" s="1162"/>
    </row>
    <row r="975" spans="1:5" ht="13.5" hidden="1">
      <c r="A975" s="1159" t="str">
        <f t="shared" si="112"/>
        <v>Senden</v>
      </c>
      <c r="B975" s="1159" t="str">
        <f t="shared" si="113"/>
        <v>II</v>
      </c>
      <c r="C975" s="1160"/>
      <c r="D975" s="1161"/>
      <c r="E975" s="1162"/>
    </row>
    <row r="976" spans="1:5" ht="13.5" hidden="1">
      <c r="A976" s="1159" t="str">
        <f t="shared" si="112"/>
        <v>Sendenhorst, Stadt</v>
      </c>
      <c r="B976" s="1159" t="str">
        <f t="shared" si="113"/>
        <v>II</v>
      </c>
      <c r="C976" s="1160"/>
      <c r="D976" s="1161"/>
      <c r="E976" s="1162"/>
    </row>
    <row r="977" spans="1:5" ht="13.5" hidden="1">
      <c r="A977" s="1159" t="str">
        <f t="shared" si="112"/>
        <v>Siegburg, Stadt</v>
      </c>
      <c r="B977" s="1159" t="str">
        <f t="shared" si="113"/>
        <v>IV</v>
      </c>
      <c r="C977" s="1160"/>
      <c r="D977" s="1161"/>
      <c r="E977" s="1162"/>
    </row>
    <row r="978" spans="1:5" ht="13.5" hidden="1">
      <c r="A978" s="1159" t="str">
        <f t="shared" si="112"/>
        <v>Siegen, Stadt</v>
      </c>
      <c r="B978" s="1159" t="str">
        <f t="shared" si="113"/>
        <v>III</v>
      </c>
      <c r="C978" s="1160"/>
      <c r="D978" s="1161"/>
      <c r="E978" s="1162"/>
    </row>
    <row r="979" spans="1:5" ht="13.5" hidden="1">
      <c r="A979" s="1159" t="str">
        <f t="shared" si="112"/>
        <v>Simmerath</v>
      </c>
      <c r="B979" s="1159" t="str">
        <f t="shared" si="113"/>
        <v>III</v>
      </c>
      <c r="C979" s="1160"/>
      <c r="D979" s="1161"/>
      <c r="E979" s="1162"/>
    </row>
    <row r="980" spans="1:5" ht="13.5" hidden="1">
      <c r="A980" s="1159" t="str">
        <f t="shared" si="112"/>
        <v>Soest, Stadt</v>
      </c>
      <c r="B980" s="1159" t="str">
        <f t="shared" si="113"/>
        <v>II</v>
      </c>
      <c r="C980" s="1160"/>
      <c r="D980" s="1161"/>
      <c r="E980" s="1162"/>
    </row>
    <row r="981" spans="1:5" ht="13.5" hidden="1">
      <c r="A981" s="1159" t="str">
        <f t="shared" si="112"/>
        <v>Solingen, Stadt</v>
      </c>
      <c r="B981" s="1159" t="str">
        <f t="shared" si="113"/>
        <v>IV</v>
      </c>
      <c r="C981" s="1160"/>
      <c r="D981" s="1161"/>
      <c r="E981" s="1162"/>
    </row>
    <row r="982" spans="1:5" ht="13.5" hidden="1">
      <c r="A982" s="1159" t="str">
        <f t="shared" si="112"/>
        <v>Spenge, Stadt</v>
      </c>
      <c r="B982" s="1159" t="str">
        <f t="shared" si="113"/>
        <v>I</v>
      </c>
      <c r="C982" s="1160"/>
      <c r="D982" s="1161"/>
      <c r="E982" s="1162"/>
    </row>
    <row r="983" spans="1:5" ht="13.5" hidden="1">
      <c r="A983" s="1159" t="str">
        <f t="shared" si="112"/>
        <v>Sprockhövel, Stadt</v>
      </c>
      <c r="B983" s="1159" t="str">
        <f t="shared" si="113"/>
        <v>III</v>
      </c>
      <c r="C983" s="1160"/>
      <c r="D983" s="1161"/>
      <c r="E983" s="1162"/>
    </row>
    <row r="984" spans="1:5" ht="13.5" hidden="1">
      <c r="A984" s="1159" t="str">
        <f t="shared" si="112"/>
        <v>Stadtlohn, Stadt</v>
      </c>
      <c r="B984" s="1159" t="str">
        <f t="shared" si="113"/>
        <v>II</v>
      </c>
      <c r="C984" s="1160"/>
      <c r="D984" s="1161"/>
      <c r="E984" s="1162"/>
    </row>
    <row r="985" spans="1:5" ht="13.5" hidden="1">
      <c r="A985" s="1159" t="str">
        <f t="shared" si="112"/>
        <v>Steinfurt, Stadt</v>
      </c>
      <c r="B985" s="1159" t="str">
        <f t="shared" si="113"/>
        <v>II</v>
      </c>
      <c r="C985" s="1160"/>
      <c r="D985" s="1161"/>
      <c r="E985" s="1162"/>
    </row>
    <row r="986" spans="1:5" ht="13.5" hidden="1">
      <c r="A986" s="1159" t="str">
        <f t="shared" si="112"/>
        <v>Steinhagen</v>
      </c>
      <c r="B986" s="1159" t="str">
        <f t="shared" si="113"/>
        <v>II</v>
      </c>
      <c r="C986" s="1160"/>
      <c r="D986" s="1161"/>
      <c r="E986" s="1162"/>
    </row>
    <row r="987" spans="1:5" ht="13.5" hidden="1">
      <c r="A987" s="1159" t="str">
        <f t="shared" si="112"/>
        <v>Steinheim, Stadt</v>
      </c>
      <c r="B987" s="1159" t="str">
        <f t="shared" si="113"/>
        <v>I</v>
      </c>
      <c r="C987" s="1160"/>
      <c r="D987" s="1161"/>
      <c r="E987" s="1162"/>
    </row>
    <row r="988" spans="1:5" ht="13.5" hidden="1">
      <c r="A988" s="1159" t="str">
        <f t="shared" si="112"/>
        <v>Stemwede</v>
      </c>
      <c r="B988" s="1159" t="str">
        <f t="shared" si="113"/>
        <v>I</v>
      </c>
      <c r="C988" s="1160"/>
      <c r="D988" s="1161"/>
      <c r="E988" s="1162"/>
    </row>
    <row r="989" spans="1:5" ht="13.5" hidden="1">
      <c r="A989" s="1159" t="str">
        <f t="shared" si="112"/>
        <v>Stolberg (Rheinland), Stadt</v>
      </c>
      <c r="B989" s="1159" t="str">
        <f t="shared" si="113"/>
        <v>III</v>
      </c>
      <c r="C989" s="1160"/>
      <c r="D989" s="1161"/>
      <c r="E989" s="1162"/>
    </row>
    <row r="990" spans="1:5" ht="13.5" hidden="1">
      <c r="A990" s="1159" t="str">
        <f t="shared" si="112"/>
        <v>Straelen, Stadt</v>
      </c>
      <c r="B990" s="1159" t="str">
        <f t="shared" si="113"/>
        <v>III</v>
      </c>
      <c r="C990" s="1160"/>
      <c r="D990" s="1161"/>
      <c r="E990" s="1162"/>
    </row>
    <row r="991" spans="1:5" ht="13.5" hidden="1">
      <c r="A991" s="1159" t="str">
        <f t="shared" si="112"/>
        <v>Sundern (Sauerland), Stadt</v>
      </c>
      <c r="B991" s="1159" t="str">
        <f t="shared" si="113"/>
        <v>I</v>
      </c>
      <c r="C991" s="1160"/>
      <c r="D991" s="1161"/>
      <c r="E991" s="1162"/>
    </row>
    <row r="992" spans="1:5" ht="13.5" hidden="1">
      <c r="A992" s="1159" t="str">
        <f t="shared" si="112"/>
        <v>Swisttal</v>
      </c>
      <c r="B992" s="1159" t="str">
        <f t="shared" si="113"/>
        <v>IV</v>
      </c>
      <c r="C992" s="1160"/>
      <c r="D992" s="1161"/>
      <c r="E992" s="1162"/>
    </row>
    <row r="993" spans="1:5" ht="13.5" hidden="1">
      <c r="A993" s="1159" t="str">
        <f t="shared" si="112"/>
        <v>Telgte, Stadt</v>
      </c>
      <c r="B993" s="1159" t="str">
        <f t="shared" si="113"/>
        <v>III</v>
      </c>
      <c r="C993" s="1160"/>
      <c r="D993" s="1161"/>
      <c r="E993" s="1162"/>
    </row>
    <row r="994" spans="1:5" ht="13.5" hidden="1">
      <c r="A994" s="1159" t="str">
        <f t="shared" si="112"/>
        <v>Tönisvorst, Stadt</v>
      </c>
      <c r="B994" s="1159" t="str">
        <f t="shared" si="113"/>
        <v>IV</v>
      </c>
      <c r="C994" s="1160"/>
      <c r="D994" s="1161"/>
      <c r="E994" s="1162"/>
    </row>
    <row r="995" spans="1:5" ht="13.5" hidden="1">
      <c r="A995" s="1159" t="str">
        <f t="shared" si="112"/>
        <v>Troisdorf, Stadt</v>
      </c>
      <c r="B995" s="1159" t="str">
        <f t="shared" si="113"/>
        <v>IV</v>
      </c>
      <c r="C995" s="1160"/>
      <c r="D995" s="1161"/>
      <c r="E995" s="1162"/>
    </row>
    <row r="996" spans="1:5" ht="13.5" hidden="1">
      <c r="A996" s="1159" t="str">
        <f t="shared" si="112"/>
        <v>Übach-Palenberg, Stadt</v>
      </c>
      <c r="B996" s="1159" t="str">
        <f t="shared" si="113"/>
        <v>III</v>
      </c>
      <c r="C996" s="1160"/>
      <c r="D996" s="1161"/>
      <c r="E996" s="1162"/>
    </row>
    <row r="997" spans="1:5" ht="13.5" hidden="1">
      <c r="A997" s="1159" t="str">
        <f t="shared" si="112"/>
        <v>Unna, Stadt</v>
      </c>
      <c r="B997" s="1159" t="str">
        <f t="shared" si="113"/>
        <v>III</v>
      </c>
      <c r="C997" s="1160"/>
      <c r="D997" s="1161"/>
      <c r="E997" s="1162"/>
    </row>
    <row r="998" spans="1:5" ht="13.5" hidden="1">
      <c r="A998" s="1159" t="str">
        <f t="shared" si="112"/>
        <v>Velbert, Stadt</v>
      </c>
      <c r="B998" s="1159" t="str">
        <f t="shared" si="113"/>
        <v>IV</v>
      </c>
      <c r="C998" s="1160"/>
      <c r="D998" s="1161"/>
      <c r="E998" s="1162"/>
    </row>
    <row r="999" spans="1:5" ht="13.5" hidden="1">
      <c r="A999" s="1159" t="str">
        <f t="shared" si="112"/>
        <v>Velen</v>
      </c>
      <c r="B999" s="1159" t="str">
        <f t="shared" si="113"/>
        <v>II</v>
      </c>
      <c r="C999" s="1160"/>
      <c r="D999" s="1161"/>
      <c r="E999" s="1162"/>
    </row>
    <row r="1000" spans="1:5" ht="13.5" hidden="1">
      <c r="A1000" s="1159" t="str">
        <f t="shared" si="112"/>
        <v>Verl</v>
      </c>
      <c r="B1000" s="1159" t="str">
        <f t="shared" si="113"/>
        <v>II</v>
      </c>
      <c r="C1000" s="1160"/>
      <c r="D1000" s="1161"/>
      <c r="E1000" s="1162"/>
    </row>
    <row r="1001" spans="1:5" ht="13.5" hidden="1">
      <c r="A1001" s="1159" t="str">
        <f t="shared" si="112"/>
        <v>Versmold, Stadt</v>
      </c>
      <c r="B1001" s="1159" t="str">
        <f t="shared" si="113"/>
        <v>I</v>
      </c>
      <c r="C1001" s="1160"/>
      <c r="D1001" s="1161"/>
      <c r="E1001" s="1162"/>
    </row>
    <row r="1002" spans="1:5" ht="13.5" hidden="1">
      <c r="A1002" s="1159" t="str">
        <f t="shared" si="112"/>
        <v>Viersen, Stadt</v>
      </c>
      <c r="B1002" s="1159" t="str">
        <f t="shared" si="113"/>
        <v>III</v>
      </c>
      <c r="C1002" s="1160"/>
      <c r="D1002" s="1161"/>
      <c r="E1002" s="1162"/>
    </row>
    <row r="1003" spans="1:5" ht="13.5" hidden="1">
      <c r="A1003" s="1159" t="str">
        <f t="shared" si="112"/>
        <v>Vlotho, Stadt</v>
      </c>
      <c r="B1003" s="1159" t="str">
        <f t="shared" si="113"/>
        <v>I</v>
      </c>
      <c r="C1003" s="1160"/>
      <c r="D1003" s="1161"/>
      <c r="E1003" s="1162"/>
    </row>
    <row r="1004" spans="1:5" ht="13.5" hidden="1">
      <c r="A1004" s="1159" t="str">
        <f t="shared" ref="A1004:A1040" si="114">IF(AND(A645&gt;0,$D$251=1),INDEX(A645,1),IF(AND(C645&gt;0,$D$251=2),INDEX(C645,1),IF(AND(E645&gt;0,$D$251=3),INDEX(E645,1),IF(AND(G645&gt;0,$D$251=4),INDEX(G645,1),IF(AND(I645&gt;0,$D$251=5),INDEX(I645,1),IF(AND(K645&gt;0,$D$251=6),INDEX(K645,1),IF(AND(M645&gt;0,$D$251=7),INDEX(M645,1),IF(AND(O645&gt;0,$D$251=8),INDEX(O645,1),IF(AND(Q645&gt;0,$D$251=9),INDEX(Q645,1),IF(AND(S645&gt;0,$D$251=10),INDEX(S645,1),IF(AND(U645&gt;0,$D$251=11),INDEX(U645,1),IF(AND(W645&gt;0,$D$251=12),INDEX(W645,1),IF(AND(Y645&gt;0,$D$251=13),INDEX(Y645,1),IF(AND(AA645&gt;0,$D$251=14),INDEX(AA645,1),IF(AND(AC645&gt;0,$D$251=15),INDEX(AC645,1),IF(AND(AE645&gt;0,$D$251=16),INDEX(AE645,1),0))))))))))))))))</f>
        <v>Voerde (Niederrhein), Stadt</v>
      </c>
      <c r="B1004" s="1159" t="str">
        <f t="shared" si="113"/>
        <v>III</v>
      </c>
      <c r="C1004" s="1160"/>
      <c r="D1004" s="1161"/>
      <c r="E1004" s="1162"/>
    </row>
    <row r="1005" spans="1:5" ht="13.5" hidden="1">
      <c r="A1005" s="1159" t="str">
        <f t="shared" si="114"/>
        <v>Vreden, Stadt</v>
      </c>
      <c r="B1005" s="1159" t="str">
        <f t="shared" ref="B1005:B1040" si="115">IF(AND(B646&gt;0,$D$251=1),INDEX(B646,1),IF(AND(D646&gt;0,$D$251=2),INDEX(D646,1),IF(AND(F646&gt;0,$D$251=3),INDEX(F646,1),IF(AND(H646&gt;0,$D$251=4),INDEX(H646,1),IF(AND(J646&gt;0,$D$251=5),INDEX(J646,1),IF(AND(L646&gt;0,$D$251=6),INDEX(L646,1),IF(AND(N646&gt;0,$D$251=7),INDEX(N646,1),IF(AND(P646&gt;0,$D$251=8),INDEX(P646,1),IF(AND(R646&gt;0,$D$251=9),INDEX(R646,1),IF(AND(T646&gt;0,$D$251=10),INDEX(T646,1),IF(AND(V646&gt;0,$D$251=11),INDEX(V646,1),IF(AND(X646&gt;0,$D$251=12),INDEX(X646,1),IF(AND(Z646&gt;0,$D$251=13),INDEX(Z646,1),IF(AND(AB646&gt;0,$D$251=14),INDEX(AB646,1),IF(AND(AD646&gt;0,$D$251=15),INDEX(AD646,1),IF(AND(AF646&gt;0,$D$251=16),INDEX(AF646,1),0))))))))))))))))</f>
        <v>I</v>
      </c>
      <c r="C1005" s="1160"/>
      <c r="D1005" s="1161"/>
      <c r="E1005" s="1162"/>
    </row>
    <row r="1006" spans="1:5" ht="13.5" hidden="1">
      <c r="A1006" s="1159" t="str">
        <f t="shared" si="114"/>
        <v>Wachtberg</v>
      </c>
      <c r="B1006" s="1159" t="str">
        <f t="shared" si="115"/>
        <v>IV</v>
      </c>
      <c r="C1006" s="1160"/>
      <c r="D1006" s="1161"/>
      <c r="E1006" s="1162"/>
    </row>
    <row r="1007" spans="1:5" ht="13.5" hidden="1">
      <c r="A1007" s="1159" t="str">
        <f t="shared" si="114"/>
        <v>Wadersloh</v>
      </c>
      <c r="B1007" s="1159" t="str">
        <f t="shared" si="115"/>
        <v>I</v>
      </c>
      <c r="C1007" s="1160"/>
      <c r="D1007" s="1161"/>
      <c r="E1007" s="1162"/>
    </row>
    <row r="1008" spans="1:5" ht="13.5" hidden="1">
      <c r="A1008" s="1159" t="str">
        <f t="shared" si="114"/>
        <v>Waldbröl, Stadt</v>
      </c>
      <c r="B1008" s="1159" t="str">
        <f t="shared" si="115"/>
        <v>III</v>
      </c>
      <c r="C1008" s="1160"/>
      <c r="D1008" s="1161"/>
      <c r="E1008" s="1162"/>
    </row>
    <row r="1009" spans="1:5" ht="13.5" hidden="1">
      <c r="A1009" s="1159" t="str">
        <f t="shared" si="114"/>
        <v>Waltrop, Stadt</v>
      </c>
      <c r="B1009" s="1159" t="str">
        <f t="shared" si="115"/>
        <v>III</v>
      </c>
      <c r="C1009" s="1160"/>
      <c r="D1009" s="1161"/>
      <c r="E1009" s="1162"/>
    </row>
    <row r="1010" spans="1:5" ht="13.5" hidden="1">
      <c r="A1010" s="1159" t="str">
        <f t="shared" si="114"/>
        <v>Warburg, Stadt</v>
      </c>
      <c r="B1010" s="1159" t="str">
        <f t="shared" si="115"/>
        <v>I</v>
      </c>
      <c r="C1010" s="1160"/>
      <c r="D1010" s="1161"/>
      <c r="E1010" s="1162"/>
    </row>
    <row r="1011" spans="1:5" ht="13.5" hidden="1">
      <c r="A1011" s="1159" t="str">
        <f t="shared" si="114"/>
        <v>Warendorf, Stadt</v>
      </c>
      <c r="B1011" s="1159" t="str">
        <f t="shared" si="115"/>
        <v>II</v>
      </c>
      <c r="C1011" s="1160"/>
      <c r="D1011" s="1161"/>
      <c r="E1011" s="1162"/>
    </row>
    <row r="1012" spans="1:5" ht="13.5" hidden="1">
      <c r="A1012" s="1159" t="str">
        <f t="shared" si="114"/>
        <v>Warstein, Stadt</v>
      </c>
      <c r="B1012" s="1159" t="str">
        <f t="shared" si="115"/>
        <v>I</v>
      </c>
      <c r="C1012" s="1160"/>
      <c r="D1012" s="1161"/>
      <c r="E1012" s="1162"/>
    </row>
    <row r="1013" spans="1:5" ht="13.5" hidden="1">
      <c r="A1013" s="1159" t="str">
        <f t="shared" si="114"/>
        <v>Wassenberg, Stadt</v>
      </c>
      <c r="B1013" s="1159" t="str">
        <f t="shared" si="115"/>
        <v>III</v>
      </c>
      <c r="C1013" s="1160"/>
      <c r="D1013" s="1161"/>
      <c r="E1013" s="1162"/>
    </row>
    <row r="1014" spans="1:5" ht="13.5" hidden="1">
      <c r="A1014" s="1159" t="str">
        <f t="shared" si="114"/>
        <v>Weeze</v>
      </c>
      <c r="B1014" s="1159" t="str">
        <f t="shared" si="115"/>
        <v>II</v>
      </c>
      <c r="C1014" s="1160"/>
      <c r="D1014" s="1161"/>
      <c r="E1014" s="1162"/>
    </row>
    <row r="1015" spans="1:5" ht="13.5" hidden="1">
      <c r="A1015" s="1159" t="str">
        <f t="shared" si="114"/>
        <v>Wegberg, Stadt</v>
      </c>
      <c r="B1015" s="1159" t="str">
        <f t="shared" si="115"/>
        <v>III</v>
      </c>
      <c r="C1015" s="1160"/>
      <c r="D1015" s="1161"/>
      <c r="E1015" s="1162"/>
    </row>
    <row r="1016" spans="1:5" ht="13.5" hidden="1">
      <c r="A1016" s="1159" t="str">
        <f t="shared" si="114"/>
        <v>Weilerswist</v>
      </c>
      <c r="B1016" s="1159" t="str">
        <f t="shared" si="115"/>
        <v>III</v>
      </c>
      <c r="C1016" s="1160"/>
      <c r="D1016" s="1161"/>
      <c r="E1016" s="1162"/>
    </row>
    <row r="1017" spans="1:5" ht="13.5" hidden="1">
      <c r="A1017" s="1159" t="str">
        <f t="shared" si="114"/>
        <v>Welver</v>
      </c>
      <c r="B1017" s="1159" t="str">
        <f t="shared" si="115"/>
        <v>II</v>
      </c>
      <c r="C1017" s="1160"/>
      <c r="D1017" s="1161"/>
      <c r="E1017" s="1162"/>
    </row>
    <row r="1018" spans="1:5" ht="13.5" hidden="1">
      <c r="A1018" s="1159" t="str">
        <f t="shared" si="114"/>
        <v>Wenden</v>
      </c>
      <c r="B1018" s="1159" t="str">
        <f t="shared" si="115"/>
        <v>II</v>
      </c>
      <c r="C1018" s="1160"/>
      <c r="D1018" s="1161"/>
      <c r="E1018" s="1162"/>
    </row>
    <row r="1019" spans="1:5" ht="13.5" hidden="1">
      <c r="A1019" s="1159" t="str">
        <f t="shared" si="114"/>
        <v>Werdohl, Stadt</v>
      </c>
      <c r="B1019" s="1159" t="str">
        <f t="shared" si="115"/>
        <v>II</v>
      </c>
      <c r="C1019" s="1160"/>
      <c r="D1019" s="1161"/>
      <c r="E1019" s="1162"/>
    </row>
    <row r="1020" spans="1:5" ht="13.5" hidden="1">
      <c r="A1020" s="1159" t="str">
        <f t="shared" si="114"/>
        <v>Werl, Stadt</v>
      </c>
      <c r="B1020" s="1159" t="str">
        <f t="shared" si="115"/>
        <v>II</v>
      </c>
      <c r="C1020" s="1160"/>
      <c r="D1020" s="1161"/>
      <c r="E1020" s="1162"/>
    </row>
    <row r="1021" spans="1:5" ht="13.5" hidden="1">
      <c r="A1021" s="1159" t="str">
        <f t="shared" si="114"/>
        <v>Wermelskirchen, Stadt</v>
      </c>
      <c r="B1021" s="1159" t="str">
        <f t="shared" si="115"/>
        <v>III</v>
      </c>
      <c r="C1021" s="1160"/>
      <c r="D1021" s="1161"/>
      <c r="E1021" s="1162"/>
    </row>
    <row r="1022" spans="1:5" ht="13.5" hidden="1">
      <c r="A1022" s="1159" t="str">
        <f t="shared" si="114"/>
        <v>Werne, Stadt</v>
      </c>
      <c r="B1022" s="1159" t="str">
        <f t="shared" si="115"/>
        <v>III</v>
      </c>
      <c r="C1022" s="1160"/>
      <c r="D1022" s="1161"/>
      <c r="E1022" s="1162"/>
    </row>
    <row r="1023" spans="1:5" ht="13.5" hidden="1">
      <c r="A1023" s="1159" t="str">
        <f t="shared" si="114"/>
        <v>Werther (Westfalen), Stadt</v>
      </c>
      <c r="B1023" s="1159" t="str">
        <f t="shared" si="115"/>
        <v>II</v>
      </c>
      <c r="C1023" s="1160"/>
      <c r="D1023" s="1161"/>
      <c r="E1023" s="1162"/>
    </row>
    <row r="1024" spans="1:5" ht="13.5" hidden="1">
      <c r="A1024" s="1159" t="str">
        <f t="shared" si="114"/>
        <v>Wesel, Stadt</v>
      </c>
      <c r="B1024" s="1159" t="str">
        <f t="shared" si="115"/>
        <v>III</v>
      </c>
      <c r="C1024" s="1160"/>
      <c r="D1024" s="1161"/>
      <c r="E1024" s="1162"/>
    </row>
    <row r="1025" spans="1:5" ht="13.5" hidden="1">
      <c r="A1025" s="1159" t="str">
        <f t="shared" si="114"/>
        <v>Wesseling, Stadt</v>
      </c>
      <c r="B1025" s="1159" t="str">
        <f t="shared" si="115"/>
        <v>IV</v>
      </c>
      <c r="C1025" s="1160"/>
      <c r="D1025" s="1161"/>
      <c r="E1025" s="1162"/>
    </row>
    <row r="1026" spans="1:5" ht="13.5" hidden="1">
      <c r="A1026" s="1159" t="str">
        <f t="shared" si="114"/>
        <v>Westerkappeln</v>
      </c>
      <c r="B1026" s="1159" t="str">
        <f t="shared" si="115"/>
        <v>I</v>
      </c>
      <c r="C1026" s="1160"/>
      <c r="D1026" s="1161"/>
      <c r="E1026" s="1162"/>
    </row>
    <row r="1027" spans="1:5" ht="13.5" hidden="1">
      <c r="A1027" s="1159" t="str">
        <f t="shared" si="114"/>
        <v>Wetter (Ruhr), Stadt</v>
      </c>
      <c r="B1027" s="1159" t="str">
        <f t="shared" si="115"/>
        <v>III</v>
      </c>
      <c r="C1027" s="1160"/>
      <c r="D1027" s="1161"/>
      <c r="E1027" s="1162"/>
    </row>
    <row r="1028" spans="1:5" ht="13.5" hidden="1">
      <c r="A1028" s="1159" t="str">
        <f t="shared" si="114"/>
        <v>Wickede (Ruhr)</v>
      </c>
      <c r="B1028" s="1159" t="str">
        <f t="shared" si="115"/>
        <v>II</v>
      </c>
      <c r="C1028" s="1160"/>
      <c r="D1028" s="1161"/>
      <c r="E1028" s="1162"/>
    </row>
    <row r="1029" spans="1:5" ht="13.5" hidden="1">
      <c r="A1029" s="1159" t="str">
        <f t="shared" si="114"/>
        <v>Wiehl, Stadt</v>
      </c>
      <c r="B1029" s="1159" t="str">
        <f t="shared" si="115"/>
        <v>II</v>
      </c>
      <c r="C1029" s="1160"/>
      <c r="D1029" s="1161"/>
      <c r="E1029" s="1162"/>
    </row>
    <row r="1030" spans="1:5" ht="13.5" hidden="1">
      <c r="A1030" s="1159" t="str">
        <f t="shared" si="114"/>
        <v>Willich, Stadt</v>
      </c>
      <c r="B1030" s="1159" t="str">
        <f t="shared" si="115"/>
        <v>IV</v>
      </c>
      <c r="C1030" s="1160"/>
      <c r="D1030" s="1161"/>
      <c r="E1030" s="1162"/>
    </row>
    <row r="1031" spans="1:5" ht="13.5" hidden="1">
      <c r="A1031" s="1159" t="str">
        <f t="shared" si="114"/>
        <v>Wilnsdorf</v>
      </c>
      <c r="B1031" s="1159" t="str">
        <f t="shared" si="115"/>
        <v>II</v>
      </c>
      <c r="C1031" s="1160"/>
      <c r="D1031" s="1161"/>
      <c r="E1031" s="1162"/>
    </row>
    <row r="1032" spans="1:5" ht="13.5" hidden="1">
      <c r="A1032" s="1159" t="str">
        <f t="shared" si="114"/>
        <v>Windeck</v>
      </c>
      <c r="B1032" s="1159" t="str">
        <f t="shared" si="115"/>
        <v>II</v>
      </c>
      <c r="C1032" s="1160"/>
      <c r="D1032" s="1161"/>
      <c r="E1032" s="1162"/>
    </row>
    <row r="1033" spans="1:5" ht="13.5" hidden="1">
      <c r="A1033" s="1159" t="str">
        <f t="shared" si="114"/>
        <v>Winterberg, Stadt</v>
      </c>
      <c r="B1033" s="1159" t="str">
        <f t="shared" si="115"/>
        <v>I</v>
      </c>
      <c r="C1033" s="1160"/>
      <c r="D1033" s="1161"/>
      <c r="E1033" s="1162"/>
    </row>
    <row r="1034" spans="1:5" ht="13.5" hidden="1">
      <c r="A1034" s="1159" t="str">
        <f t="shared" si="114"/>
        <v>Wipperfürth, Stadt</v>
      </c>
      <c r="B1034" s="1159" t="str">
        <f t="shared" si="115"/>
        <v>III</v>
      </c>
      <c r="C1034" s="1160"/>
      <c r="D1034" s="1161"/>
      <c r="E1034" s="1162"/>
    </row>
    <row r="1035" spans="1:5" ht="13.5" hidden="1">
      <c r="A1035" s="1159" t="str">
        <f t="shared" si="114"/>
        <v>Witten, Stadt</v>
      </c>
      <c r="B1035" s="1159" t="str">
        <f t="shared" si="115"/>
        <v>III</v>
      </c>
      <c r="C1035" s="1160"/>
      <c r="D1035" s="1161"/>
      <c r="E1035" s="1162"/>
    </row>
    <row r="1036" spans="1:5" ht="13.5" hidden="1">
      <c r="A1036" s="1159" t="str">
        <f t="shared" si="114"/>
        <v>Wülfrath, Stadt</v>
      </c>
      <c r="B1036" s="1159" t="str">
        <f t="shared" si="115"/>
        <v>III</v>
      </c>
      <c r="C1036" s="1160"/>
      <c r="D1036" s="1161"/>
      <c r="E1036" s="1162"/>
    </row>
    <row r="1037" spans="1:5" ht="13.5" hidden="1">
      <c r="A1037" s="1159" t="str">
        <f t="shared" si="114"/>
        <v>Wuppertal, Stadt</v>
      </c>
      <c r="B1037" s="1159" t="str">
        <f t="shared" si="115"/>
        <v>III</v>
      </c>
      <c r="C1037" s="1160"/>
      <c r="D1037" s="1161"/>
      <c r="E1037" s="1162"/>
    </row>
    <row r="1038" spans="1:5" ht="13.5" hidden="1">
      <c r="A1038" s="1159" t="str">
        <f t="shared" si="114"/>
        <v>Würselen, Stadt</v>
      </c>
      <c r="B1038" s="1159" t="str">
        <f t="shared" si="115"/>
        <v>III</v>
      </c>
      <c r="C1038" s="1160"/>
      <c r="D1038" s="1161"/>
      <c r="E1038" s="1162"/>
    </row>
    <row r="1039" spans="1:5" ht="13.5" hidden="1">
      <c r="A1039" s="1159" t="str">
        <f t="shared" si="114"/>
        <v>Xanten, Stadt</v>
      </c>
      <c r="B1039" s="1159" t="str">
        <f t="shared" si="115"/>
        <v>III</v>
      </c>
      <c r="C1039" s="1160"/>
      <c r="D1039" s="1161"/>
      <c r="E1039" s="1162"/>
    </row>
    <row r="1040" spans="1:5" ht="13.5" hidden="1">
      <c r="A1040" s="1159" t="str">
        <f t="shared" si="114"/>
        <v>Zülpich, Stadt</v>
      </c>
      <c r="B1040" s="1159" t="str">
        <f t="shared" si="115"/>
        <v>III</v>
      </c>
      <c r="C1040" s="1160"/>
      <c r="D1040" s="1161"/>
      <c r="E1040" s="1162"/>
    </row>
    <row r="1041" spans="1:1" ht="13.5">
      <c r="A1041" s="1153"/>
    </row>
    <row r="1042" spans="1:1" ht="13.5">
      <c r="A1042" s="1153"/>
    </row>
    <row r="1043" spans="1:1" ht="13.5">
      <c r="A1043" s="1153"/>
    </row>
    <row r="1044" spans="1:1" ht="13.5">
      <c r="A1044" s="1153"/>
    </row>
    <row r="1045" spans="1:1" ht="13.5">
      <c r="A1045" s="1153"/>
    </row>
    <row r="1046" spans="1:1" ht="13.5">
      <c r="A1046" s="1153"/>
    </row>
    <row r="1047" spans="1:1" ht="13.5">
      <c r="A1047" s="1153"/>
    </row>
    <row r="1048" spans="1:1" ht="13.5">
      <c r="A1048" s="1153"/>
    </row>
    <row r="1049" spans="1:1" ht="13.5">
      <c r="A1049" s="1153"/>
    </row>
    <row r="1050" spans="1:1" ht="13.5">
      <c r="A1050" s="1153"/>
    </row>
  </sheetData>
  <sheetProtection sheet="1" objects="1" scenarios="1"/>
  <sortState ref="AE297:AF346">
    <sortCondition ref="AE297"/>
  </sortState>
  <mergeCells count="27">
    <mergeCell ref="A1:I1"/>
    <mergeCell ref="A248:I248"/>
    <mergeCell ref="B2:C2"/>
    <mergeCell ref="D238:E239"/>
    <mergeCell ref="D241:E242"/>
    <mergeCell ref="G235:I238"/>
    <mergeCell ref="G240:I242"/>
    <mergeCell ref="A3:I3"/>
    <mergeCell ref="A119:I119"/>
    <mergeCell ref="A235:A236"/>
    <mergeCell ref="A241:A242"/>
    <mergeCell ref="C256:E256"/>
    <mergeCell ref="G268:I268"/>
    <mergeCell ref="V47:W47"/>
    <mergeCell ref="D235:E236"/>
    <mergeCell ref="B251:C251"/>
    <mergeCell ref="B252:C252"/>
    <mergeCell ref="G252:I252"/>
    <mergeCell ref="G253:I253"/>
    <mergeCell ref="B235:B236"/>
    <mergeCell ref="B241:B242"/>
    <mergeCell ref="B238:B239"/>
    <mergeCell ref="A284:K284"/>
    <mergeCell ref="B285:E285"/>
    <mergeCell ref="F285:I285"/>
    <mergeCell ref="J285:K285"/>
    <mergeCell ref="H301:I301"/>
  </mergeCells>
  <phoneticPr fontId="2" type="noConversion"/>
  <conditionalFormatting sqref="C130:I130 C133:I135 C203:I203 C168:I170">
    <cfRule type="cellIs" dxfId="322" priority="135" stopIfTrue="1" operator="equal">
      <formula>0</formula>
    </cfRule>
  </conditionalFormatting>
  <conditionalFormatting sqref="B254">
    <cfRule type="expression" dxfId="321" priority="134">
      <formula>$B$253="Miete"</formula>
    </cfRule>
  </conditionalFormatting>
  <conditionalFormatting sqref="B255">
    <cfRule type="expression" dxfId="320" priority="133">
      <formula>B253="Eigentum"</formula>
    </cfRule>
  </conditionalFormatting>
  <conditionalFormatting sqref="B257">
    <cfRule type="expression" dxfId="319" priority="131">
      <formula>B253="Eigentum"</formula>
    </cfRule>
  </conditionalFormatting>
  <conditionalFormatting sqref="B258">
    <cfRule type="expression" dxfId="318" priority="130">
      <formula>B253="Eigentum"</formula>
    </cfRule>
  </conditionalFormatting>
  <conditionalFormatting sqref="C268">
    <cfRule type="expression" dxfId="317" priority="127">
      <formula>C180=C268</formula>
    </cfRule>
  </conditionalFormatting>
  <conditionalFormatting sqref="B256">
    <cfRule type="expression" dxfId="316" priority="176">
      <formula>B256=B102</formula>
    </cfRule>
    <cfRule type="expression" dxfId="315" priority="177">
      <formula>B253="Eigentum"</formula>
    </cfRule>
  </conditionalFormatting>
  <conditionalFormatting sqref="D268">
    <cfRule type="expression" dxfId="314" priority="126">
      <formula>D268=D180</formula>
    </cfRule>
  </conditionalFormatting>
  <conditionalFormatting sqref="E268">
    <cfRule type="expression" dxfId="313" priority="125">
      <formula>E180=E268</formula>
    </cfRule>
  </conditionalFormatting>
  <conditionalFormatting sqref="F268">
    <cfRule type="expression" dxfId="312" priority="124">
      <formula>F180=F268</formula>
    </cfRule>
  </conditionalFormatting>
  <conditionalFormatting sqref="G240:I242">
    <cfRule type="expression" dxfId="311" priority="121">
      <formula>G240&gt;0</formula>
    </cfRule>
  </conditionalFormatting>
  <conditionalFormatting sqref="G235:I238">
    <cfRule type="expression" dxfId="310" priority="120">
      <formula>G235&lt;&gt;""</formula>
    </cfRule>
  </conditionalFormatting>
  <conditionalFormatting sqref="C122:I122">
    <cfRule type="expression" dxfId="309" priority="119">
      <formula>$A$122&gt;0</formula>
    </cfRule>
  </conditionalFormatting>
  <conditionalFormatting sqref="C123:I123">
    <cfRule type="expression" dxfId="308" priority="118">
      <formula>$A$123&gt;0</formula>
    </cfRule>
  </conditionalFormatting>
  <conditionalFormatting sqref="C125:I125">
    <cfRule type="expression" dxfId="307" priority="117">
      <formula>$A$125&gt;0</formula>
    </cfRule>
  </conditionalFormatting>
  <conditionalFormatting sqref="C129:I129">
    <cfRule type="expression" dxfId="306" priority="116">
      <formula>$A$129&gt;0</formula>
    </cfRule>
  </conditionalFormatting>
  <conditionalFormatting sqref="C166:I166">
    <cfRule type="expression" dxfId="305" priority="115">
      <formula>$B$165&gt;0</formula>
    </cfRule>
  </conditionalFormatting>
  <conditionalFormatting sqref="C167:I167">
    <cfRule type="expression" dxfId="304" priority="114">
      <formula>$B$165&gt;0</formula>
    </cfRule>
  </conditionalFormatting>
  <conditionalFormatting sqref="C175:D175">
    <cfRule type="expression" dxfId="303" priority="113">
      <formula>$B$174&gt;0</formula>
    </cfRule>
  </conditionalFormatting>
  <conditionalFormatting sqref="C176:D176">
    <cfRule type="expression" dxfId="302" priority="112">
      <formula>$B$174&gt;0</formula>
    </cfRule>
  </conditionalFormatting>
  <conditionalFormatting sqref="C181:F181">
    <cfRule type="expression" dxfId="301" priority="111">
      <formula>$A$181&gt;0</formula>
    </cfRule>
  </conditionalFormatting>
  <conditionalFormatting sqref="C182:F182">
    <cfRule type="expression" dxfId="300" priority="110">
      <formula>$A$182&gt;0</formula>
    </cfRule>
  </conditionalFormatting>
  <conditionalFormatting sqref="C184:F184">
    <cfRule type="expression" dxfId="299" priority="109">
      <formula>$A$184&gt;0</formula>
    </cfRule>
  </conditionalFormatting>
  <conditionalFormatting sqref="C186:F186">
    <cfRule type="expression" dxfId="298" priority="108">
      <formula>$A$186&gt;0</formula>
    </cfRule>
  </conditionalFormatting>
  <conditionalFormatting sqref="C209:F209">
    <cfRule type="expression" dxfId="297" priority="107">
      <formula>$A$209&gt;0</formula>
    </cfRule>
  </conditionalFormatting>
  <conditionalFormatting sqref="C210:D210">
    <cfRule type="expression" dxfId="296" priority="106">
      <formula>$A$210&gt;0</formula>
    </cfRule>
  </conditionalFormatting>
  <conditionalFormatting sqref="C263:I263">
    <cfRule type="expression" dxfId="295" priority="105">
      <formula>$A$263&gt;0</formula>
    </cfRule>
  </conditionalFormatting>
  <conditionalFormatting sqref="C261:I261">
    <cfRule type="expression" dxfId="294" priority="104">
      <formula>$A$261&gt;0</formula>
    </cfRule>
  </conditionalFormatting>
  <conditionalFormatting sqref="C267:I267">
    <cfRule type="expression" dxfId="293" priority="103">
      <formula>$A$267&gt;0</formula>
    </cfRule>
  </conditionalFormatting>
  <conditionalFormatting sqref="C280:D280">
    <cfRule type="expression" dxfId="292" priority="102">
      <formula>$B$33&gt;0</formula>
    </cfRule>
  </conditionalFormatting>
  <conditionalFormatting sqref="C143:I144">
    <cfRule type="expression" dxfId="291" priority="101">
      <formula>$A$143&gt;0</formula>
    </cfRule>
  </conditionalFormatting>
  <conditionalFormatting sqref="C142:I142">
    <cfRule type="expression" dxfId="290" priority="100">
      <formula>$A$142&gt;0</formula>
    </cfRule>
  </conditionalFormatting>
  <conditionalFormatting sqref="A104">
    <cfRule type="expression" dxfId="289" priority="99">
      <formula>B102&gt;0</formula>
    </cfRule>
  </conditionalFormatting>
  <conditionalFormatting sqref="B104">
    <cfRule type="expression" dxfId="288" priority="98">
      <formula>B102&gt;0</formula>
    </cfRule>
  </conditionalFormatting>
  <conditionalFormatting sqref="A106">
    <cfRule type="expression" dxfId="287" priority="97">
      <formula>B105&gt;0</formula>
    </cfRule>
  </conditionalFormatting>
  <conditionalFormatting sqref="B106">
    <cfRule type="expression" dxfId="286" priority="96">
      <formula>B105&gt;0</formula>
    </cfRule>
  </conditionalFormatting>
  <conditionalFormatting sqref="A107">
    <cfRule type="expression" dxfId="285" priority="95">
      <formula>B105&gt;0</formula>
    </cfRule>
  </conditionalFormatting>
  <conditionalFormatting sqref="B107">
    <cfRule type="expression" dxfId="284" priority="94">
      <formula>B105&gt;0</formula>
    </cfRule>
  </conditionalFormatting>
  <conditionalFormatting sqref="A166">
    <cfRule type="expression" dxfId="283" priority="93">
      <formula>B165&gt;0</formula>
    </cfRule>
  </conditionalFormatting>
  <conditionalFormatting sqref="A167">
    <cfRule type="expression" dxfId="282" priority="92">
      <formula>B165&gt;0</formula>
    </cfRule>
  </conditionalFormatting>
  <conditionalFormatting sqref="A175">
    <cfRule type="expression" dxfId="281" priority="91">
      <formula>B174&gt;0</formula>
    </cfRule>
  </conditionalFormatting>
  <conditionalFormatting sqref="A176">
    <cfRule type="expression" dxfId="280" priority="90">
      <formula>B174&gt;0</formula>
    </cfRule>
  </conditionalFormatting>
  <conditionalFormatting sqref="A181">
    <cfRule type="expression" dxfId="279" priority="89">
      <formula>B180&gt;0</formula>
    </cfRule>
  </conditionalFormatting>
  <conditionalFormatting sqref="A182">
    <cfRule type="expression" dxfId="278" priority="88">
      <formula>B180&gt;0</formula>
    </cfRule>
  </conditionalFormatting>
  <conditionalFormatting sqref="A184">
    <cfRule type="expression" dxfId="277" priority="87">
      <formula>B180&gt;0</formula>
    </cfRule>
  </conditionalFormatting>
  <conditionalFormatting sqref="A186">
    <cfRule type="expression" dxfId="276" priority="86">
      <formula>B180&gt;0</formula>
    </cfRule>
  </conditionalFormatting>
  <conditionalFormatting sqref="A209">
    <cfRule type="expression" dxfId="275" priority="85">
      <formula>B208&gt;0</formula>
    </cfRule>
  </conditionalFormatting>
  <conditionalFormatting sqref="A210">
    <cfRule type="expression" dxfId="274" priority="84">
      <formula>B208&gt;0</formula>
    </cfRule>
  </conditionalFormatting>
  <conditionalFormatting sqref="A142">
    <cfRule type="cellIs" dxfId="273" priority="80" operator="notEqual">
      <formula>0</formula>
    </cfRule>
  </conditionalFormatting>
  <conditionalFormatting sqref="A143:A144">
    <cfRule type="cellIs" dxfId="272" priority="79" operator="notEqual">
      <formula>0</formula>
    </cfRule>
  </conditionalFormatting>
  <conditionalFormatting sqref="A137">
    <cfRule type="cellIs" dxfId="271" priority="78" operator="notEqual">
      <formula>0</formula>
    </cfRule>
  </conditionalFormatting>
  <conditionalFormatting sqref="A132">
    <cfRule type="cellIs" dxfId="270" priority="77" operator="notEqual">
      <formula>0</formula>
    </cfRule>
  </conditionalFormatting>
  <conditionalFormatting sqref="A129">
    <cfRule type="cellIs" dxfId="269" priority="76" operator="notEqual">
      <formula>0</formula>
    </cfRule>
  </conditionalFormatting>
  <conditionalFormatting sqref="C34">
    <cfRule type="expression" dxfId="268" priority="75">
      <formula>C8&gt;0</formula>
    </cfRule>
  </conditionalFormatting>
  <conditionalFormatting sqref="D34">
    <cfRule type="expression" dxfId="267" priority="74">
      <formula>D8&gt;0</formula>
    </cfRule>
  </conditionalFormatting>
  <conditionalFormatting sqref="E34">
    <cfRule type="expression" dxfId="266" priority="73">
      <formula>E8&gt;0</formula>
    </cfRule>
  </conditionalFormatting>
  <conditionalFormatting sqref="F34">
    <cfRule type="expression" dxfId="265" priority="72">
      <formula>F8&gt;0</formula>
    </cfRule>
  </conditionalFormatting>
  <conditionalFormatting sqref="G34">
    <cfRule type="expression" dxfId="264" priority="71">
      <formula>G8&gt;0</formula>
    </cfRule>
  </conditionalFormatting>
  <conditionalFormatting sqref="H34">
    <cfRule type="expression" dxfId="263" priority="70">
      <formula>H8&gt;0</formula>
    </cfRule>
  </conditionalFormatting>
  <conditionalFormatting sqref="I34">
    <cfRule type="expression" dxfId="262" priority="69">
      <formula>I8&gt;0</formula>
    </cfRule>
  </conditionalFormatting>
  <conditionalFormatting sqref="C35">
    <cfRule type="expression" dxfId="261" priority="68">
      <formula>C8&gt;0</formula>
    </cfRule>
  </conditionalFormatting>
  <conditionalFormatting sqref="D35">
    <cfRule type="expression" dxfId="260" priority="67">
      <formula>D8&gt;0</formula>
    </cfRule>
  </conditionalFormatting>
  <conditionalFormatting sqref="E35">
    <cfRule type="expression" dxfId="259" priority="66">
      <formula>E8&gt;0</formula>
    </cfRule>
  </conditionalFormatting>
  <conditionalFormatting sqref="F35">
    <cfRule type="expression" dxfId="258" priority="65">
      <formula>F8&gt;0</formula>
    </cfRule>
  </conditionalFormatting>
  <conditionalFormatting sqref="G35">
    <cfRule type="expression" dxfId="257" priority="64">
      <formula>G8&gt;0</formula>
    </cfRule>
  </conditionalFormatting>
  <conditionalFormatting sqref="H35">
    <cfRule type="expression" dxfId="256" priority="63">
      <formula>H8&gt;0</formula>
    </cfRule>
  </conditionalFormatting>
  <conditionalFormatting sqref="I35">
    <cfRule type="expression" dxfId="255" priority="62">
      <formula>I8&gt;0</formula>
    </cfRule>
  </conditionalFormatting>
  <conditionalFormatting sqref="C37:I37">
    <cfRule type="expression" dxfId="254" priority="61">
      <formula>C8&gt;0</formula>
    </cfRule>
  </conditionalFormatting>
  <conditionalFormatting sqref="D37">
    <cfRule type="expression" dxfId="253" priority="60">
      <formula>D8&gt;0</formula>
    </cfRule>
  </conditionalFormatting>
  <conditionalFormatting sqref="E37">
    <cfRule type="expression" dxfId="252" priority="59">
      <formula>E8&gt;0</formula>
    </cfRule>
  </conditionalFormatting>
  <conditionalFormatting sqref="C46">
    <cfRule type="expression" dxfId="251" priority="58">
      <formula>AND(C8&gt;0,D8=0,E8&gt;0)</formula>
    </cfRule>
  </conditionalFormatting>
  <conditionalFormatting sqref="C91:I91">
    <cfRule type="expression" dxfId="250" priority="57">
      <formula>C8&gt;0</formula>
    </cfRule>
  </conditionalFormatting>
  <conditionalFormatting sqref="D91">
    <cfRule type="expression" dxfId="249" priority="56">
      <formula>D8&gt;0</formula>
    </cfRule>
  </conditionalFormatting>
  <conditionalFormatting sqref="E91">
    <cfRule type="expression" dxfId="248" priority="55">
      <formula>E8&gt;0</formula>
    </cfRule>
  </conditionalFormatting>
  <conditionalFormatting sqref="F91">
    <cfRule type="expression" dxfId="247" priority="54">
      <formula>F8&gt;0</formula>
    </cfRule>
  </conditionalFormatting>
  <conditionalFormatting sqref="G91">
    <cfRule type="expression" dxfId="246" priority="53">
      <formula>G8&gt;0</formula>
    </cfRule>
  </conditionalFormatting>
  <conditionalFormatting sqref="H91">
    <cfRule type="expression" dxfId="245" priority="52">
      <formula>H8&gt;0</formula>
    </cfRule>
  </conditionalFormatting>
  <conditionalFormatting sqref="I91">
    <cfRule type="expression" dxfId="244" priority="51">
      <formula>I8&gt;0</formula>
    </cfRule>
  </conditionalFormatting>
  <conditionalFormatting sqref="C93:I93">
    <cfRule type="expression" dxfId="243" priority="50">
      <formula>C8&gt;0</formula>
    </cfRule>
  </conditionalFormatting>
  <conditionalFormatting sqref="C94:I94">
    <cfRule type="expression" dxfId="242" priority="49">
      <formula>C8&gt;0</formula>
    </cfRule>
  </conditionalFormatting>
  <conditionalFormatting sqref="C99:I99">
    <cfRule type="expression" dxfId="241" priority="48">
      <formula>C8&gt;0</formula>
    </cfRule>
  </conditionalFormatting>
  <conditionalFormatting sqref="C117:I117">
    <cfRule type="expression" dxfId="240" priority="47">
      <formula>C8&gt;0</formula>
    </cfRule>
  </conditionalFormatting>
  <conditionalFormatting sqref="C128:I128">
    <cfRule type="expression" dxfId="239" priority="46">
      <formula>C8&gt;0</formula>
    </cfRule>
  </conditionalFormatting>
  <conditionalFormatting sqref="D128">
    <cfRule type="expression" dxfId="238" priority="45">
      <formula>D8&gt;0</formula>
    </cfRule>
  </conditionalFormatting>
  <conditionalFormatting sqref="E128">
    <cfRule type="expression" dxfId="237" priority="44">
      <formula>E8&gt;0</formula>
    </cfRule>
  </conditionalFormatting>
  <conditionalFormatting sqref="F128">
    <cfRule type="expression" dxfId="236" priority="43">
      <formula>F8&gt;0</formula>
    </cfRule>
  </conditionalFormatting>
  <conditionalFormatting sqref="G128">
    <cfRule type="expression" dxfId="235" priority="42">
      <formula>G8&gt;0</formula>
    </cfRule>
  </conditionalFormatting>
  <conditionalFormatting sqref="H128">
    <cfRule type="expression" dxfId="234" priority="41">
      <formula>H8&gt;0</formula>
    </cfRule>
  </conditionalFormatting>
  <conditionalFormatting sqref="I128">
    <cfRule type="expression" dxfId="233" priority="40">
      <formula>I8&gt;0</formula>
    </cfRule>
  </conditionalFormatting>
  <conditionalFormatting sqref="C132:I132">
    <cfRule type="expression" dxfId="232" priority="39">
      <formula>C8&gt;0</formula>
    </cfRule>
  </conditionalFormatting>
  <conditionalFormatting sqref="D132">
    <cfRule type="expression" dxfId="231" priority="38">
      <formula>D8&gt;0</formula>
    </cfRule>
  </conditionalFormatting>
  <conditionalFormatting sqref="E132">
    <cfRule type="expression" dxfId="230" priority="37">
      <formula>E8&gt;0</formula>
    </cfRule>
  </conditionalFormatting>
  <conditionalFormatting sqref="F132">
    <cfRule type="expression" dxfId="229" priority="36">
      <formula>F8&gt;0</formula>
    </cfRule>
  </conditionalFormatting>
  <conditionalFormatting sqref="G132">
    <cfRule type="expression" dxfId="228" priority="35">
      <formula>G8&gt;0</formula>
    </cfRule>
  </conditionalFormatting>
  <conditionalFormatting sqref="H132">
    <cfRule type="expression" dxfId="227" priority="34">
      <formula>H8&gt;0</formula>
    </cfRule>
  </conditionalFormatting>
  <conditionalFormatting sqref="I132">
    <cfRule type="expression" dxfId="226" priority="33">
      <formula>I8&gt;0</formula>
    </cfRule>
  </conditionalFormatting>
  <conditionalFormatting sqref="C136:I136">
    <cfRule type="expression" dxfId="225" priority="32">
      <formula>C8&gt;0</formula>
    </cfRule>
  </conditionalFormatting>
  <conditionalFormatting sqref="C137:I137">
    <cfRule type="expression" dxfId="224" priority="31">
      <formula>C8&gt;0</formula>
    </cfRule>
  </conditionalFormatting>
  <conditionalFormatting sqref="C138:I138">
    <cfRule type="expression" dxfId="223" priority="30">
      <formula>C8&gt;0</formula>
    </cfRule>
  </conditionalFormatting>
  <conditionalFormatting sqref="C139:I139">
    <cfRule type="expression" dxfId="222" priority="29">
      <formula>C8&gt;0</formula>
    </cfRule>
  </conditionalFormatting>
  <conditionalFormatting sqref="C165:I165">
    <cfRule type="expression" dxfId="221" priority="28">
      <formula>C8&gt;0</formula>
    </cfRule>
  </conditionalFormatting>
  <conditionalFormatting sqref="C174:D174">
    <cfRule type="expression" dxfId="220" priority="27">
      <formula>C8&gt;0</formula>
    </cfRule>
  </conditionalFormatting>
  <conditionalFormatting sqref="C180:F180">
    <cfRule type="expression" dxfId="219" priority="26">
      <formula>C8&gt;0</formula>
    </cfRule>
  </conditionalFormatting>
  <conditionalFormatting sqref="C192">
    <cfRule type="expression" dxfId="218" priority="25">
      <formula>C8&gt;0</formula>
    </cfRule>
  </conditionalFormatting>
  <conditionalFormatting sqref="D192">
    <cfRule type="expression" dxfId="217" priority="24">
      <formula>D8&gt;0</formula>
    </cfRule>
  </conditionalFormatting>
  <conditionalFormatting sqref="E192">
    <cfRule type="expression" dxfId="216" priority="23">
      <formula>E8&gt;0</formula>
    </cfRule>
  </conditionalFormatting>
  <conditionalFormatting sqref="F192">
    <cfRule type="expression" dxfId="215" priority="22">
      <formula>F8&gt;0</formula>
    </cfRule>
  </conditionalFormatting>
  <conditionalFormatting sqref="G192">
    <cfRule type="expression" dxfId="214" priority="21">
      <formula>G8&gt;0</formula>
    </cfRule>
  </conditionalFormatting>
  <conditionalFormatting sqref="H192">
    <cfRule type="expression" dxfId="213" priority="20">
      <formula>H8&gt;0</formula>
    </cfRule>
  </conditionalFormatting>
  <conditionalFormatting sqref="I192">
    <cfRule type="expression" dxfId="212" priority="19">
      <formula>I8&gt;0</formula>
    </cfRule>
  </conditionalFormatting>
  <conditionalFormatting sqref="C193:I193">
    <cfRule type="expression" dxfId="211" priority="18">
      <formula>C8&gt;0</formula>
    </cfRule>
  </conditionalFormatting>
  <conditionalFormatting sqref="E194">
    <cfRule type="expression" dxfId="210" priority="17">
      <formula>E8&gt;0</formula>
    </cfRule>
  </conditionalFormatting>
  <conditionalFormatting sqref="F194">
    <cfRule type="expression" dxfId="209" priority="16">
      <formula>F8&gt;0</formula>
    </cfRule>
  </conditionalFormatting>
  <conditionalFormatting sqref="G194">
    <cfRule type="expression" dxfId="208" priority="15">
      <formula>G8&gt;0</formula>
    </cfRule>
  </conditionalFormatting>
  <conditionalFormatting sqref="H194">
    <cfRule type="expression" dxfId="207" priority="14">
      <formula>H8&gt;0</formula>
    </cfRule>
  </conditionalFormatting>
  <conditionalFormatting sqref="I194">
    <cfRule type="expression" dxfId="206" priority="13">
      <formula>I8&gt;0</formula>
    </cfRule>
  </conditionalFormatting>
  <conditionalFormatting sqref="C196:I196">
    <cfRule type="expression" dxfId="205" priority="12">
      <formula>C8&gt;0</formula>
    </cfRule>
  </conditionalFormatting>
  <conditionalFormatting sqref="C197:D197">
    <cfRule type="expression" dxfId="204" priority="11">
      <formula>C8&gt;0</formula>
    </cfRule>
  </conditionalFormatting>
  <conditionalFormatting sqref="C198:I198">
    <cfRule type="expression" dxfId="203" priority="10">
      <formula>C8&gt;0</formula>
    </cfRule>
  </conditionalFormatting>
  <conditionalFormatting sqref="C199:I199">
    <cfRule type="expression" dxfId="202" priority="9">
      <formula>C8&gt;0</formula>
    </cfRule>
  </conditionalFormatting>
  <conditionalFormatting sqref="C204:I204">
    <cfRule type="expression" dxfId="201" priority="8">
      <formula>C8&gt;0</formula>
    </cfRule>
  </conditionalFormatting>
  <conditionalFormatting sqref="C205:I205">
    <cfRule type="expression" dxfId="200" priority="7">
      <formula>C8&gt;0</formula>
    </cfRule>
  </conditionalFormatting>
  <conditionalFormatting sqref="C218:I218">
    <cfRule type="expression" dxfId="199" priority="6">
      <formula>C8&gt;0</formula>
    </cfRule>
  </conditionalFormatting>
  <conditionalFormatting sqref="C219:D219">
    <cfRule type="expression" dxfId="198" priority="5">
      <formula>C8&gt;0</formula>
    </cfRule>
  </conditionalFormatting>
  <conditionalFormatting sqref="C221:I221">
    <cfRule type="expression" dxfId="197" priority="4">
      <formula>C8&gt;0</formula>
    </cfRule>
  </conditionalFormatting>
  <conditionalFormatting sqref="C222:I222">
    <cfRule type="expression" dxfId="196" priority="3">
      <formula>C8&gt;0</formula>
    </cfRule>
  </conditionalFormatting>
  <conditionalFormatting sqref="C226:E227">
    <cfRule type="expression" dxfId="195" priority="2">
      <formula>C8&gt;0</formula>
    </cfRule>
  </conditionalFormatting>
  <conditionalFormatting sqref="C228:E228">
    <cfRule type="expression" dxfId="194" priority="179">
      <formula>C9&gt;0</formula>
    </cfRule>
  </conditionalFormatting>
  <conditionalFormatting sqref="C227:I228">
    <cfRule type="expression" dxfId="193" priority="1">
      <formula>C9&gt;0</formula>
    </cfRule>
  </conditionalFormatting>
  <dataValidations disablePrompts="1" xWindow="611" yWindow="619" count="34">
    <dataValidation type="list" allowBlank="1" showInputMessage="1" showErrorMessage="1" sqref="B96:B97 C34:D34 F34:I35 E35">
      <formula1>"ja,nein"</formula1>
    </dataValidation>
    <dataValidation type="list" allowBlank="1" showInputMessage="1" showErrorMessage="1" sqref="C166:I166">
      <formula1>"Vollverpflegung,Frühstück,Mittagessen,Abendessen"</formula1>
    </dataValidation>
    <dataValidation type="list" allowBlank="1" showInputMessage="1" showErrorMessage="1" sqref="C167:I167">
      <formula1>"23,22,21,20,19,18,17,16,15"</formula1>
    </dataValidation>
    <dataValidation type="list" allowBlank="1" showInputMessage="1" showErrorMessage="1" sqref="A139">
      <formula1>"weitere Einnahmen aus Erwerbstätigkeit (siehe Liste),Kurzarbeitergeld, Insolvenzgeld, Zuschuss zum Mutterschaftsgeld, Gewinn aus selbständiger Tätigkeit"</formula1>
    </dataValidation>
    <dataValidation allowBlank="1" showInputMessage="1" showErrorMessage="1" prompt="bitte die Kosten für&#10;die Haushalts-&#10;gemeinschaft&#10;eintragen" sqref="B102"/>
    <dataValidation type="list" allowBlank="1" showInputMessage="1" showErrorMessage="1" sqref="B109">
      <formula1>"ja"</formula1>
    </dataValidation>
    <dataValidation type="list" allowBlank="1" showInputMessage="1" showErrorMessage="1" sqref="E4">
      <formula1>"Kind 1, Kind Antragst."</formula1>
    </dataValidation>
    <dataValidation type="list" allowBlank="1" showInputMessage="1" showErrorMessage="1" sqref="C4">
      <formula1>"Antragsteller, Elternteil 1"</formula1>
    </dataValidation>
    <dataValidation type="list" allowBlank="1" showInputMessage="1" showErrorMessage="1" sqref="D4">
      <formula1>"Partner(in), Elternteil 2"</formula1>
    </dataValidation>
    <dataValidation type="date" operator="greaterThanOrEqual" allowBlank="1" showInputMessage="1" showErrorMessage="1" error="bitte Datum ab 01.08.2016 eingeben" prompt="bitte immer&#10;Monatsersten&#10;eingeben,&#10;z.B. 01.01.2013" sqref="E2">
      <formula1>42583</formula1>
    </dataValidation>
    <dataValidation allowBlank="1" showInputMessage="1" showErrorMessage="1" promptTitle="bitte beachten:" prompt="hier die Zahl der Personen eintragen, die im gemeinsamen Haushalt leben, aber nicht zur Bedarfsgemeinschaft rechnen, z.B. Großeltern, Onkel" sqref="B5"/>
    <dataValidation type="custom" allowBlank="1" showInputMessage="1" showErrorMessage="1" error="Person nicht erwerbsfähig oder Altersrente; Fahrtkosten nur in nachgewiesener Höhe!" sqref="C122:I122">
      <formula1>IF(C34="nein",FALSE,TRUE)</formula1>
    </dataValidation>
    <dataValidation type="list" allowBlank="1" showInputMessage="1" showErrorMessage="1" sqref="C35:D35">
      <formula1>"ja,nur Mehrbedarf,nein"</formula1>
    </dataValidation>
    <dataValidation type="list" allowBlank="1" showInputMessage="1" showErrorMessage="1" sqref="A180">
      <formula1>"Leistungen der Ausbildungsförderung (siehe Liste), BAföG, Berufsausbildungsbeihilfe, Ausbildungsgeld, Unterhaltsbeitrag nach AFBG"</formula1>
    </dataValidation>
    <dataValidation type="list" allowBlank="1" showInputMessage="1" showErrorMessage="1" sqref="C221:I221">
      <formula1>"einmal, zweimal, dreimal"</formula1>
    </dataValidation>
    <dataValidation type="list" allowBlank="1" showInputMessage="1" showErrorMessage="1" sqref="C222:I222">
      <formula1>"1. PV, 2. PV, 3. PV"</formula1>
    </dataValidation>
    <dataValidation type="list" allowBlank="1" showInputMessage="1" showErrorMessage="1" sqref="C226:E228">
      <formula1>"über 25, unter 25"</formula1>
    </dataValidation>
    <dataValidation type="date" operator="greaterThan" allowBlank="1" showInputMessage="1" showErrorMessage="1" sqref="D231">
      <formula1>E2</formula1>
    </dataValidation>
    <dataValidation type="decimal" errorStyle="information" operator="lessThan" allowBlank="1" showInputMessage="1" showErrorMessage="1" error="Kommentar beachtet?" sqref="C205:I206">
      <formula1>0.01</formula1>
    </dataValidation>
    <dataValidation type="list" errorStyle="information" allowBlank="1" showInputMessage="1" showErrorMessage="1" sqref="C129:I129">
      <formula1>"Vollverpflegung,Frühstück,Mittagessen,Abendessen"</formula1>
    </dataValidation>
    <dataValidation allowBlank="1" showInputMessage="1" showErrorMessage="1" error="Antragsteller kann kein Altersrentner sein!" sqref="C197:D197"/>
    <dataValidation type="list" allowBlank="1" showInputMessage="1" showErrorMessage="1" sqref="F252">
      <formula1>"I,II,III,IV,V,VI"</formula1>
    </dataValidation>
    <dataValidation type="list" allowBlank="1" showInputMessage="1" showErrorMessage="1" sqref="B301">
      <formula1>"Antragsteller,Partner(in),Kind 1"</formula1>
    </dataValidation>
    <dataValidation allowBlank="1" showInputMessage="1" showErrorMessage="1" prompt="Name eingeben" sqref="B2:C2"/>
    <dataValidation allowBlank="1" showInputMessage="1" showErrorMessage="1" promptTitle="Name eingeben" prompt="  " sqref="C6:E6 G6"/>
    <dataValidation allowBlank="1" showInputMessage="1" showErrorMessage="1" promptTitle="Name eingeben" prompt=" " sqref="F6 H6:I6"/>
    <dataValidation allowBlank="1" showInputMessage="1" showErrorMessage="1" promptTitle="Berechnung Durchschnittslohn" prompt="kann weiter unten ermittelt werden" sqref="C128:I128"/>
    <dataValidation allowBlank="1" showInputMessage="1" showErrorMessage="1" promptTitle="Art der Einnahme" prompt="aus Liste ausgewählt?" sqref="C139:I139"/>
    <dataValidation type="decimal" errorStyle="information" operator="lessThan" allowBlank="1" showInputMessage="1" showErrorMessage="1" errorTitle="Anspruch" error="anspruchsberechtigt?" promptTitle="Art der Einnahme" prompt="aus Liste ausgewählt?" sqref="C180:F180">
      <formula1>0.01</formula1>
    </dataValidation>
    <dataValidation allowBlank="1" showInputMessage="1" showErrorMessage="1" promptTitle="Schultage" prompt="sofern nicht bereits bei Ausbildungs-vergütung berücksichtigt" sqref="C181:F181"/>
    <dataValidation allowBlank="1" showInputMessage="1" showErrorMessage="1" prompt="sofern die Kosten nicht bereits bei der Ausbildungsvergütung berücksichtigt sind" sqref="C184:F184"/>
    <dataValidation type="custom" errorStyle="information" allowBlank="1" showInputMessage="1" showErrorMessage="1" error="Person anspruchsberechtigt?" promptTitle="Art der Einnahme" prompt="aus Liste ausgewählt?" sqref="C198:I198">
      <formula1>$A$198&lt;&gt;"Erwerbsminderungsrente"</formula1>
    </dataValidation>
    <dataValidation type="whole" operator="greaterThan" allowBlank="1" showInputMessage="1" showErrorMessage="1" error="nur Beträge über 1000 € eingeben" prompt="maßgebend sind die steuerrechtlichen Werbungskosten, z.B. lt. letztem Steuerbescheid" sqref="C261:I261">
      <formula1>1000</formula1>
    </dataValidation>
    <dataValidation type="list" allowBlank="1" showInputMessage="1" showErrorMessage="1" sqref="E34">
      <formula1>"ja,nein,"</formula1>
    </dataValidation>
  </dataValidations>
  <hyperlinks>
    <hyperlink ref="B93" location="Bedarfssätze!A60" display="Liste Ernährung"/>
    <hyperlink ref="D235:E236" location="Berechnung!A1" display="Berechnung anzeigen"/>
    <hyperlink ref="D238:E239" location="Wohngeld!A1" display="Berechnung anzeigen"/>
    <hyperlink ref="D241:E242" location="Kinderzuschlag!A1" display="Berechnung anzeigen"/>
    <hyperlink ref="A282" location="Eingabetabelle!A142" display="Zurück"/>
  </hyperlinks>
  <pageMargins left="1.2598425196850394" right="0.19685039370078741" top="0.39370078740157483" bottom="0.39370078740157483" header="0.51181102362204722" footer="0.51181102362204722"/>
  <pageSetup paperSize="9" scale="54" orientation="portrait" r:id="rId1"/>
  <headerFooter alignWithMargins="0"/>
  <colBreaks count="1" manualBreakCount="1">
    <brk id="9" max="1048575" man="1"/>
  </colBreaks>
  <legacyDrawing r:id="rId2"/>
</worksheet>
</file>

<file path=xl/worksheets/sheet4.xml><?xml version="1.0" encoding="utf-8"?>
<worksheet xmlns="http://schemas.openxmlformats.org/spreadsheetml/2006/main" xmlns:r="http://schemas.openxmlformats.org/officeDocument/2006/relationships">
  <sheetPr codeName="Tabelle1"/>
  <dimension ref="A1:AK239"/>
  <sheetViews>
    <sheetView showGridLines="0" showZeros="0" topLeftCell="AA24" zoomScale="124" zoomScaleNormal="124" workbookViewId="0">
      <selection activeCell="AG33" sqref="AG33"/>
    </sheetView>
  </sheetViews>
  <sheetFormatPr baseColWidth="10" defaultColWidth="11.42578125" defaultRowHeight="16.5"/>
  <cols>
    <col min="1" max="1" width="33.28515625" style="205" customWidth="1"/>
    <col min="2" max="2" width="15.7109375" style="205" customWidth="1"/>
    <col min="3" max="9" width="13.7109375" style="205" customWidth="1"/>
    <col min="10" max="10" width="5.140625" style="205" customWidth="1"/>
    <col min="11" max="11" width="38.42578125" style="205" customWidth="1"/>
    <col min="12" max="19" width="11.42578125" style="205"/>
    <col min="20" max="20" width="5.7109375" style="205" customWidth="1"/>
    <col min="21" max="21" width="50.7109375" style="205" customWidth="1"/>
    <col min="22" max="22" width="16.28515625" style="205" customWidth="1"/>
    <col min="23" max="23" width="15.42578125" style="205" customWidth="1"/>
    <col min="24" max="24" width="14.140625" style="205" customWidth="1"/>
    <col min="25" max="29" width="11.42578125" style="205"/>
    <col min="30" max="30" width="5.42578125" style="205" customWidth="1"/>
    <col min="31" max="31" width="47.7109375" style="205" customWidth="1"/>
    <col min="32" max="32" width="11.42578125" style="205"/>
    <col min="33" max="33" width="13.28515625" style="205" customWidth="1"/>
    <col min="34" max="34" width="13.140625" style="205" customWidth="1"/>
    <col min="35" max="35" width="12.5703125" style="205" customWidth="1"/>
    <col min="36" max="36" width="12.85546875" style="205" customWidth="1"/>
    <col min="37" max="37" width="12.7109375" style="205" customWidth="1"/>
    <col min="38" max="16384" width="11.42578125" style="205"/>
  </cols>
  <sheetData>
    <row r="1" spans="1:37" ht="20.100000000000001" customHeight="1" thickBot="1">
      <c r="H1" s="606" t="s">
        <v>183</v>
      </c>
      <c r="I1" s="605">
        <f ca="1">TODAY()</f>
        <v>43401</v>
      </c>
    </row>
    <row r="2" spans="1:37" ht="30" customHeight="1">
      <c r="A2" s="2109" t="s">
        <v>2</v>
      </c>
      <c r="B2" s="2110"/>
      <c r="C2" s="2110"/>
      <c r="D2" s="2110"/>
      <c r="E2" s="2110"/>
      <c r="F2" s="2110"/>
      <c r="G2" s="2110"/>
      <c r="H2" s="2110"/>
      <c r="I2" s="2111"/>
      <c r="J2" s="1736"/>
      <c r="K2" s="2142" t="str">
        <f>Wohngeld!A2</f>
        <v>Berechnung eines möglichen Wohngeldanspruchs</v>
      </c>
      <c r="L2" s="2143"/>
      <c r="M2" s="2143"/>
      <c r="N2" s="2143"/>
      <c r="O2" s="2143"/>
      <c r="P2" s="2143"/>
      <c r="Q2" s="2143"/>
      <c r="R2" s="2143"/>
      <c r="S2" s="2144"/>
      <c r="T2" s="1737"/>
      <c r="U2" s="2130" t="str">
        <f>Kinderzuschlag!A162</f>
        <v>Möglicher Anspruch auf Kinderzuschlag</v>
      </c>
      <c r="V2" s="2131"/>
      <c r="W2" s="2131"/>
      <c r="X2" s="2131"/>
      <c r="Y2" s="2131"/>
      <c r="Z2" s="2131"/>
      <c r="AA2" s="2131"/>
      <c r="AB2" s="2131"/>
      <c r="AC2" s="2132"/>
      <c r="AD2" s="1737"/>
      <c r="AE2" s="2116" t="str">
        <f>Zuschuss§26!A2</f>
        <v xml:space="preserve">   Notwendige Daten zur Berechnung des Zuschusses zu den Versicherungsbeiträgen</v>
      </c>
      <c r="AF2" s="2117"/>
      <c r="AG2" s="2117"/>
      <c r="AH2" s="2117"/>
      <c r="AI2" s="2117"/>
      <c r="AJ2" s="2117"/>
      <c r="AK2" s="2118"/>
    </row>
    <row r="3" spans="1:37" ht="21" thickBot="1">
      <c r="A3" s="238" t="s">
        <v>4</v>
      </c>
      <c r="B3" s="2107">
        <f>Zusatzeingaben!B2</f>
        <v>0</v>
      </c>
      <c r="C3" s="2108"/>
      <c r="D3" s="239" t="s">
        <v>33</v>
      </c>
      <c r="E3" s="1346">
        <f>Eingabetabelle!H13</f>
        <v>43344</v>
      </c>
      <c r="F3" s="263" t="s">
        <v>103</v>
      </c>
      <c r="G3" s="1347">
        <f>Zusatzeingaben!F2</f>
        <v>43373</v>
      </c>
      <c r="H3" s="240"/>
      <c r="I3" s="241"/>
      <c r="J3" s="1736"/>
      <c r="K3" s="238" t="str">
        <f>Wohngeld!A3</f>
        <v>Antragsteller:</v>
      </c>
      <c r="L3" s="2107">
        <f>Wohngeld!B3</f>
        <v>0</v>
      </c>
      <c r="M3" s="2108"/>
      <c r="N3" s="239" t="str">
        <f>Wohngeld!D3</f>
        <v>gültig ab:</v>
      </c>
      <c r="O3" s="338">
        <f>Wohngeld!E3</f>
        <v>43344</v>
      </c>
      <c r="P3" s="263" t="str">
        <f>Wohngeld!F3</f>
        <v>bis</v>
      </c>
      <c r="Q3" s="339">
        <f>Wohngeld!G3</f>
        <v>43373</v>
      </c>
      <c r="R3" s="240">
        <f>Wohngeld!H3</f>
        <v>0</v>
      </c>
      <c r="S3" s="241">
        <f>Wohngeld!I3</f>
        <v>0</v>
      </c>
      <c r="T3" s="1737"/>
      <c r="U3" s="1765" t="str">
        <f>Kinderzuschlag!A165</f>
        <v>Prüfschritte</v>
      </c>
      <c r="V3" s="1766" t="str">
        <f>Kinderzuschlag!B165</f>
        <v>BG insgesamt</v>
      </c>
      <c r="W3" s="1766" t="str">
        <f>Kinderzuschlag!C165</f>
        <v>Antragsteller</v>
      </c>
      <c r="X3" s="1766" t="str">
        <f>Kinderzuschlag!D165</f>
        <v>Partner(in)</v>
      </c>
      <c r="Y3" s="1766" t="str">
        <f>Kinderzuschlag!E165</f>
        <v>Kind 1</v>
      </c>
      <c r="Z3" s="1766" t="str">
        <f>Kinderzuschlag!F165</f>
        <v>Kind 2</v>
      </c>
      <c r="AA3" s="1766" t="str">
        <f>Kinderzuschlag!G165</f>
        <v>Kind 3</v>
      </c>
      <c r="AB3" s="1766" t="str">
        <f>Kinderzuschlag!H165</f>
        <v>Kind 4</v>
      </c>
      <c r="AC3" s="1767" t="str">
        <f>Kinderzuschlag!I165</f>
        <v>Kind 5</v>
      </c>
      <c r="AD3" s="1737"/>
      <c r="AE3" s="174">
        <f>Zuschuss§26!A3</f>
        <v>0</v>
      </c>
      <c r="AF3" s="571">
        <f>Zuschuss§26!B3</f>
        <v>0</v>
      </c>
      <c r="AG3" s="571">
        <f>Zuschuss§26!C3</f>
        <v>0</v>
      </c>
      <c r="AH3" s="571">
        <f>Zuschuss§26!D3</f>
        <v>0</v>
      </c>
      <c r="AI3" s="571">
        <f>Zuschuss§26!E3</f>
        <v>0</v>
      </c>
      <c r="AJ3" s="571">
        <f>Zuschuss§26!F3</f>
        <v>0</v>
      </c>
      <c r="AK3" s="831">
        <f>Zuschuss§26!G3</f>
        <v>0</v>
      </c>
    </row>
    <row r="4" spans="1:37" ht="16.899999999999999" customHeight="1" thickBot="1">
      <c r="J4" s="1736"/>
      <c r="K4" s="217">
        <f>Wohngeld!A4</f>
        <v>0</v>
      </c>
      <c r="L4" s="688">
        <f>Wohngeld!B4</f>
        <v>0</v>
      </c>
      <c r="M4" s="217">
        <f>Wohngeld!C4</f>
        <v>0</v>
      </c>
      <c r="N4" s="217">
        <f>Wohngeld!D4</f>
        <v>0</v>
      </c>
      <c r="O4" s="217">
        <f>Wohngeld!E4</f>
        <v>0</v>
      </c>
      <c r="P4" s="217">
        <f>Wohngeld!F4</f>
        <v>0</v>
      </c>
      <c r="Q4" s="217">
        <f>Wohngeld!G4</f>
        <v>0</v>
      </c>
      <c r="R4" s="217">
        <f>Wohngeld!H4</f>
        <v>0</v>
      </c>
      <c r="S4" s="217">
        <f>Wohngeld!I4</f>
        <v>0</v>
      </c>
      <c r="T4" s="1737"/>
      <c r="U4" s="1768" t="str">
        <f>Kinderzuschlag!A166</f>
        <v>Anspruch auf Kindergeld</v>
      </c>
      <c r="V4" s="1769">
        <f>Kinderzuschlag!B166</f>
        <v>0</v>
      </c>
      <c r="W4" s="1769">
        <f>Kinderzuschlag!C166</f>
        <v>0</v>
      </c>
      <c r="X4" s="1769">
        <f>Kinderzuschlag!D166</f>
        <v>0</v>
      </c>
      <c r="Y4" s="1770" t="str">
        <f>Kinderzuschlag!E166</f>
        <v>nein</v>
      </c>
      <c r="Z4" s="1770" t="str">
        <f>Kinderzuschlag!F166</f>
        <v>nein</v>
      </c>
      <c r="AA4" s="1770" t="str">
        <f>Kinderzuschlag!G166</f>
        <v>nein</v>
      </c>
      <c r="AB4" s="1770" t="str">
        <f>Kinderzuschlag!H166</f>
        <v>nein</v>
      </c>
      <c r="AC4" s="1771" t="str">
        <f>Kinderzuschlag!I166</f>
        <v>nein</v>
      </c>
      <c r="AD4" s="1737"/>
      <c r="AE4" s="238" t="str">
        <f>Zuschuss§26!A4</f>
        <v>Antragsteller:</v>
      </c>
      <c r="AF4" s="2119">
        <f>Zuschuss§26!B4</f>
        <v>0</v>
      </c>
      <c r="AG4" s="2120"/>
      <c r="AH4" s="239" t="str">
        <f>Zuschuss§26!D4</f>
        <v>gültig ab:</v>
      </c>
      <c r="AI4" s="947">
        <f>Zuschuss§26!E4</f>
        <v>43344</v>
      </c>
      <c r="AJ4" s="263" t="str">
        <f>Zuschuss§26!F4</f>
        <v>bis</v>
      </c>
      <c r="AK4" s="948">
        <f>Zuschuss§26!G4</f>
        <v>43373</v>
      </c>
    </row>
    <row r="5" spans="1:37" ht="23.1" customHeight="1" thickBot="1">
      <c r="A5" s="2112" t="s">
        <v>0</v>
      </c>
      <c r="B5" s="2105"/>
      <c r="C5" s="2105"/>
      <c r="D5" s="2105"/>
      <c r="E5" s="2105"/>
      <c r="F5" s="2105"/>
      <c r="G5" s="2105"/>
      <c r="H5" s="2105"/>
      <c r="I5" s="2106"/>
      <c r="J5" s="1737"/>
      <c r="K5" s="996">
        <f>Wohngeld!A5</f>
        <v>0</v>
      </c>
      <c r="L5" s="998" t="str">
        <f>Wohngeld!B5</f>
        <v>BG insgesamt</v>
      </c>
      <c r="M5" s="998" t="str">
        <f>Wohngeld!C5</f>
        <v>Antragsteller</v>
      </c>
      <c r="N5" s="998" t="str">
        <f>Wohngeld!D5</f>
        <v>Partner(in)</v>
      </c>
      <c r="O5" s="998" t="str">
        <f>Wohngeld!E5</f>
        <v>Kind 1</v>
      </c>
      <c r="P5" s="998" t="str">
        <f>Wohngeld!F5</f>
        <v>Kind 2</v>
      </c>
      <c r="Q5" s="998" t="str">
        <f>Wohngeld!G5</f>
        <v>Kind 3</v>
      </c>
      <c r="R5" s="998" t="str">
        <f>Wohngeld!H5</f>
        <v>Kind 4</v>
      </c>
      <c r="S5" s="999" t="str">
        <f>Wohngeld!I5</f>
        <v>Kind 5</v>
      </c>
      <c r="T5" s="1737"/>
      <c r="U5" s="1768" t="str">
        <f>Kinderzuschlag!A167</f>
        <v>Mindesteinkommensgrenze der Eltern</v>
      </c>
      <c r="V5" s="1772">
        <f>Kinderzuschlag!B167</f>
        <v>600</v>
      </c>
      <c r="W5" s="1773">
        <f>Kinderzuschlag!C167</f>
        <v>0</v>
      </c>
      <c r="X5" s="1773">
        <f>Kinderzuschlag!D167</f>
        <v>0</v>
      </c>
      <c r="Y5" s="1774">
        <f>Kinderzuschlag!E167</f>
        <v>0</v>
      </c>
      <c r="Z5" s="1774">
        <f>Kinderzuschlag!F167</f>
        <v>0</v>
      </c>
      <c r="AA5" s="1774">
        <f>Kinderzuschlag!G167</f>
        <v>0</v>
      </c>
      <c r="AB5" s="1774">
        <f>Kinderzuschlag!H167</f>
        <v>0</v>
      </c>
      <c r="AC5" s="1775">
        <f>Kinderzuschlag!I167</f>
        <v>0</v>
      </c>
      <c r="AD5" s="1737"/>
      <c r="AE5" s="243">
        <f>Zuschuss§26!A5</f>
        <v>0</v>
      </c>
      <c r="AF5" s="723">
        <f>Zuschuss§26!B5</f>
        <v>0</v>
      </c>
      <c r="AG5" s="723">
        <f>Zuschuss§26!C5</f>
        <v>0</v>
      </c>
      <c r="AH5" s="723">
        <f>Zuschuss§26!D5</f>
        <v>0</v>
      </c>
      <c r="AI5" s="723">
        <f>Zuschuss§26!E5</f>
        <v>0</v>
      </c>
      <c r="AJ5" s="723">
        <f>Zuschuss§26!F5</f>
        <v>0</v>
      </c>
      <c r="AK5" s="727">
        <f>Zuschuss§26!G5</f>
        <v>0</v>
      </c>
    </row>
    <row r="6" spans="1:37" ht="20.25" customHeight="1">
      <c r="A6" s="1309"/>
      <c r="B6" s="1302" t="s">
        <v>1</v>
      </c>
      <c r="C6" s="1302" t="str">
        <f>Zusatzeingaben!C4</f>
        <v>Antragsteller</v>
      </c>
      <c r="D6" s="1302" t="str">
        <f>Zusatzeingaben!D4</f>
        <v>Partner(in)</v>
      </c>
      <c r="E6" s="1302" t="str">
        <f>Zusatzeingaben!E4</f>
        <v>Kind 1</v>
      </c>
      <c r="F6" s="1302" t="str">
        <f>Zusatzeingaben!F4</f>
        <v>Kind 2</v>
      </c>
      <c r="G6" s="1302" t="str">
        <f>Zusatzeingaben!G4</f>
        <v>Kind 3</v>
      </c>
      <c r="H6" s="1302" t="str">
        <f>Zusatzeingaben!H4</f>
        <v>Kind 4</v>
      </c>
      <c r="I6" s="1300" t="str">
        <f>Zusatzeingaben!I4</f>
        <v>Kind 5</v>
      </c>
      <c r="J6" s="1737"/>
      <c r="K6" s="224" t="str">
        <f>Wohngeld!A6</f>
        <v>BG besteht aus</v>
      </c>
      <c r="L6" s="1000">
        <f>Wohngeld!B6</f>
        <v>1</v>
      </c>
      <c r="M6" s="301">
        <f>Wohngeld!C6</f>
        <v>0</v>
      </c>
      <c r="N6" s="301">
        <f>Wohngeld!D6</f>
        <v>0</v>
      </c>
      <c r="O6" s="301">
        <f>Wohngeld!E6</f>
        <v>0</v>
      </c>
      <c r="P6" s="301">
        <f>Wohngeld!F6</f>
        <v>0</v>
      </c>
      <c r="Q6" s="301">
        <f>Wohngeld!G6</f>
        <v>0</v>
      </c>
      <c r="R6" s="301">
        <f>Wohngeld!H6</f>
        <v>0</v>
      </c>
      <c r="S6" s="302">
        <f>Wohngeld!I6</f>
        <v>0</v>
      </c>
      <c r="T6" s="1737"/>
      <c r="U6" s="1776" t="str">
        <f>Kinderzuschlag!A168</f>
        <v>tatsächliches Einkommen der Eltern</v>
      </c>
      <c r="V6" s="1777">
        <f>Kinderzuschlag!B168</f>
        <v>0</v>
      </c>
      <c r="W6" s="1777">
        <f>Kinderzuschlag!C168</f>
        <v>0</v>
      </c>
      <c r="X6" s="1777">
        <f>Kinderzuschlag!D168</f>
        <v>0</v>
      </c>
      <c r="Y6" s="1774">
        <f>Kinderzuschlag!E168</f>
        <v>0</v>
      </c>
      <c r="Z6" s="1774">
        <f>Kinderzuschlag!F168</f>
        <v>0</v>
      </c>
      <c r="AA6" s="1774">
        <f>Kinderzuschlag!G168</f>
        <v>0</v>
      </c>
      <c r="AB6" s="1774">
        <f>Kinderzuschlag!H168</f>
        <v>0</v>
      </c>
      <c r="AC6" s="1775">
        <f>Kinderzuschlag!I168</f>
        <v>0</v>
      </c>
      <c r="AD6" s="1737"/>
      <c r="AE6" s="884">
        <f>Zuschuss§26!A6</f>
        <v>0</v>
      </c>
      <c r="AF6" s="900">
        <f>Zuschuss§26!B6</f>
        <v>0</v>
      </c>
      <c r="AG6" s="773" t="str">
        <f>Zuschuss§26!C6</f>
        <v>Antragsteller</v>
      </c>
      <c r="AH6" s="773" t="str">
        <f>Zuschuss§26!D6</f>
        <v>Partner(in)</v>
      </c>
      <c r="AI6" s="773" t="str">
        <f>Zuschuss§26!E6</f>
        <v>Kind 1</v>
      </c>
      <c r="AJ6" s="773" t="str">
        <f>Zuschuss§26!F6</f>
        <v>Kind 2</v>
      </c>
      <c r="AK6" s="774" t="str">
        <f>Zuschuss§26!G6</f>
        <v>Kind 3</v>
      </c>
    </row>
    <row r="7" spans="1:37" ht="21" thickBot="1">
      <c r="A7" s="1369" t="s">
        <v>35</v>
      </c>
      <c r="B7" s="1305">
        <f>Zusatzeingaben!B6</f>
        <v>1</v>
      </c>
      <c r="C7" s="1303">
        <f>Zusatzeingaben!C6</f>
        <v>0</v>
      </c>
      <c r="D7" s="1299">
        <f>Zusatzeingaben!D6</f>
        <v>0</v>
      </c>
      <c r="E7" s="1299">
        <f>Zusatzeingaben!E6</f>
        <v>0</v>
      </c>
      <c r="F7" s="1299">
        <f>Zusatzeingaben!F6</f>
        <v>0</v>
      </c>
      <c r="G7" s="1299">
        <f>Zusatzeingaben!G6</f>
        <v>0</v>
      </c>
      <c r="H7" s="1299">
        <f>Zusatzeingaben!H6</f>
        <v>0</v>
      </c>
      <c r="I7" s="1301">
        <f>Zusatzeingaben!I6</f>
        <v>0</v>
      </c>
      <c r="J7" s="1737"/>
      <c r="K7" s="225" t="str">
        <f>Wohngeld!A7</f>
        <v>Alter</v>
      </c>
      <c r="L7" s="1047">
        <f>Wohngeld!B7</f>
        <v>0</v>
      </c>
      <c r="M7" s="951">
        <f>Wohngeld!C7</f>
        <v>0</v>
      </c>
      <c r="N7" s="951">
        <f>Wohngeld!D7</f>
        <v>0</v>
      </c>
      <c r="O7" s="951">
        <f>Wohngeld!E7</f>
        <v>0</v>
      </c>
      <c r="P7" s="951">
        <f>Wohngeld!F7</f>
        <v>0</v>
      </c>
      <c r="Q7" s="951">
        <f>Wohngeld!G7</f>
        <v>0</v>
      </c>
      <c r="R7" s="951">
        <f>Wohngeld!H7</f>
        <v>0</v>
      </c>
      <c r="S7" s="952">
        <f>Wohngeld!I7</f>
        <v>0</v>
      </c>
      <c r="T7" s="1737"/>
      <c r="U7" s="1778" t="str">
        <f>Kinderzuschlag!A169</f>
        <v>ungeminderter Kinderzuschlag</v>
      </c>
      <c r="V7" s="1779">
        <f>Kinderzuschlag!B169</f>
        <v>0</v>
      </c>
      <c r="W7" s="1780">
        <f>Kinderzuschlag!C169</f>
        <v>0</v>
      </c>
      <c r="X7" s="1781">
        <f>Kinderzuschlag!D169</f>
        <v>0</v>
      </c>
      <c r="Y7" s="1780">
        <f>Kinderzuschlag!E169</f>
        <v>0</v>
      </c>
      <c r="Z7" s="1780">
        <f>Kinderzuschlag!F169</f>
        <v>0</v>
      </c>
      <c r="AA7" s="1780">
        <f>Kinderzuschlag!G169</f>
        <v>0</v>
      </c>
      <c r="AB7" s="1780">
        <f>Kinderzuschlag!H169</f>
        <v>0</v>
      </c>
      <c r="AC7" s="1782">
        <f>Kinderzuschlag!I169</f>
        <v>0</v>
      </c>
      <c r="AD7" s="1737"/>
      <c r="AE7" s="757" t="str">
        <f>Zuschuss§26!A7</f>
        <v>BG besteht aus</v>
      </c>
      <c r="AF7" s="303">
        <f>Zuschuss§26!B7</f>
        <v>0</v>
      </c>
      <c r="AG7" s="301">
        <f>Zuschuss§26!C7</f>
        <v>0</v>
      </c>
      <c r="AH7" s="301">
        <f>Zuschuss§26!D7</f>
        <v>0</v>
      </c>
      <c r="AI7" s="301">
        <f>Zuschuss§26!E7</f>
        <v>0</v>
      </c>
      <c r="AJ7" s="301">
        <f>Zuschuss§26!F7</f>
        <v>0</v>
      </c>
      <c r="AK7" s="302">
        <f>Zuschuss§26!G7</f>
        <v>0</v>
      </c>
    </row>
    <row r="8" spans="1:37" ht="17.25" customHeight="1" thickBot="1">
      <c r="A8" s="1369" t="s">
        <v>32</v>
      </c>
      <c r="B8" s="1306"/>
      <c r="C8" s="1304" t="str">
        <f>Zusatzeingaben!E7</f>
        <v>nein</v>
      </c>
      <c r="D8" s="1304" t="str">
        <f>Zusatzeingaben!E7</f>
        <v>nein</v>
      </c>
      <c r="E8" s="1304"/>
      <c r="F8" s="1304"/>
      <c r="G8" s="1304"/>
      <c r="H8" s="1304"/>
      <c r="I8" s="1304"/>
      <c r="J8" s="1737"/>
      <c r="K8" s="723">
        <f>Wohngeld!A8</f>
        <v>0</v>
      </c>
      <c r="L8" s="315">
        <f>Wohngeld!B8</f>
        <v>0</v>
      </c>
      <c r="M8" s="997">
        <f>Wohngeld!C8</f>
        <v>0</v>
      </c>
      <c r="N8" s="997">
        <f>Wohngeld!D8</f>
        <v>0</v>
      </c>
      <c r="O8" s="997">
        <f>Wohngeld!E8</f>
        <v>0</v>
      </c>
      <c r="P8" s="997">
        <f>Wohngeld!F8</f>
        <v>0</v>
      </c>
      <c r="Q8" s="997">
        <f>Wohngeld!G8</f>
        <v>0</v>
      </c>
      <c r="R8" s="997">
        <f>Wohngeld!H8</f>
        <v>0</v>
      </c>
      <c r="S8" s="997">
        <f>Wohngeld!I8</f>
        <v>0</v>
      </c>
      <c r="T8" s="1737"/>
      <c r="U8" s="1783" t="str">
        <f>Kinderzuschlag!A170</f>
        <v>zu berücksichtigendes Einkommen</v>
      </c>
      <c r="V8" s="1784">
        <f>Kinderzuschlag!B170</f>
        <v>0</v>
      </c>
      <c r="W8" s="1785">
        <f>Kinderzuschlag!C170</f>
        <v>0</v>
      </c>
      <c r="X8" s="1786">
        <f>Kinderzuschlag!D170</f>
        <v>0</v>
      </c>
      <c r="Y8" s="1787">
        <f>Kinderzuschlag!E170</f>
        <v>0</v>
      </c>
      <c r="Z8" s="1787">
        <f>Kinderzuschlag!F170</f>
        <v>0</v>
      </c>
      <c r="AA8" s="1787">
        <f>Kinderzuschlag!G170</f>
        <v>0</v>
      </c>
      <c r="AB8" s="1787">
        <f>Kinderzuschlag!H170</f>
        <v>0</v>
      </c>
      <c r="AC8" s="1788">
        <f>Kinderzuschlag!I170</f>
        <v>0</v>
      </c>
      <c r="AD8" s="1737"/>
      <c r="AE8" s="875" t="str">
        <f>Zuschuss§26!A8</f>
        <v>Alter</v>
      </c>
      <c r="AF8" s="876">
        <f>Zuschuss§26!B8</f>
        <v>0</v>
      </c>
      <c r="AG8" s="307">
        <f>Zuschuss§26!C8</f>
        <v>0</v>
      </c>
      <c r="AH8" s="307">
        <f>Zuschuss§26!D8</f>
        <v>0</v>
      </c>
      <c r="AI8" s="307">
        <f>Zuschuss§26!E8</f>
        <v>0</v>
      </c>
      <c r="AJ8" s="307">
        <f>Zuschuss§26!F8</f>
        <v>0</v>
      </c>
      <c r="AK8" s="310">
        <f>Zuschuss§26!G8</f>
        <v>0</v>
      </c>
    </row>
    <row r="9" spans="1:37" ht="23.25">
      <c r="A9" s="1369" t="s">
        <v>3</v>
      </c>
      <c r="B9" s="1307"/>
      <c r="C9" s="1348">
        <f>Zusatzeingaben!C22</f>
        <v>0</v>
      </c>
      <c r="D9" s="1349">
        <f>Zusatzeingaben!D22</f>
        <v>0</v>
      </c>
      <c r="E9" s="1349">
        <f>IF(Zusatzeingaben!E16=0,Zusatzeingaben!E16,Zusatzeingaben!E22)</f>
        <v>0</v>
      </c>
      <c r="F9" s="1349">
        <f>IF(Zusatzeingaben!F16=0,Zusatzeingaben!F16,Zusatzeingaben!F22)</f>
        <v>0</v>
      </c>
      <c r="G9" s="1349">
        <f>IF(Zusatzeingaben!G16=0,Zusatzeingaben!G16,Zusatzeingaben!G22)</f>
        <v>0</v>
      </c>
      <c r="H9" s="1349">
        <f>IF(Zusatzeingaben!H16=0,Zusatzeingaben!H16,Zusatzeingaben!H22)</f>
        <v>0</v>
      </c>
      <c r="I9" s="1350">
        <f>IF(Zusatzeingaben!I16=0,Zusatzeingaben!I16,Zusatzeingaben!I22)</f>
        <v>0</v>
      </c>
      <c r="J9" s="1737"/>
      <c r="K9" s="2112" t="str">
        <f>Wohngeld!A9</f>
        <v>Miete</v>
      </c>
      <c r="L9" s="2145"/>
      <c r="M9" s="2145"/>
      <c r="N9" s="2145"/>
      <c r="O9" s="2145"/>
      <c r="P9" s="2145"/>
      <c r="Q9" s="2145"/>
      <c r="R9" s="2145"/>
      <c r="S9" s="2146"/>
      <c r="T9" s="1737"/>
      <c r="U9" s="1776" t="str">
        <f>Kinderzuschlag!A171</f>
        <v>des Kindes</v>
      </c>
      <c r="V9" s="1789">
        <f>Kinderzuschlag!B171</f>
        <v>0</v>
      </c>
      <c r="W9" s="1790">
        <f>Kinderzuschlag!C171</f>
        <v>0</v>
      </c>
      <c r="X9" s="1791">
        <f>Kinderzuschlag!D171</f>
        <v>0</v>
      </c>
      <c r="Y9" s="1777">
        <f>Kinderzuschlag!E171</f>
        <v>0</v>
      </c>
      <c r="Z9" s="1777">
        <f>Kinderzuschlag!F171</f>
        <v>0</v>
      </c>
      <c r="AA9" s="1777">
        <f>Kinderzuschlag!G171</f>
        <v>0</v>
      </c>
      <c r="AB9" s="1777">
        <f>Kinderzuschlag!H171</f>
        <v>0</v>
      </c>
      <c r="AC9" s="1792">
        <f>Kinderzuschlag!I171</f>
        <v>0</v>
      </c>
      <c r="AD9" s="1737"/>
      <c r="AE9" s="757" t="str">
        <f>Zuschuss§26!A9</f>
        <v>anspruchsberechtigt</v>
      </c>
      <c r="AF9" s="306">
        <f>Zuschuss§26!B9</f>
        <v>0</v>
      </c>
      <c r="AG9" s="949" t="str">
        <f>Zuschuss§26!C9</f>
        <v>ja</v>
      </c>
      <c r="AH9" s="307">
        <f>Zuschuss§26!D9</f>
        <v>0</v>
      </c>
      <c r="AI9" s="307">
        <f>Zuschuss§26!E9</f>
        <v>0</v>
      </c>
      <c r="AJ9" s="307">
        <f>Zuschuss§26!F9</f>
        <v>0</v>
      </c>
      <c r="AK9" s="310">
        <f>Zuschuss§26!G9</f>
        <v>0</v>
      </c>
    </row>
    <row r="10" spans="1:37" ht="21" thickBot="1">
      <c r="A10" s="1371" t="s">
        <v>39</v>
      </c>
      <c r="B10" s="1308"/>
      <c r="C10" s="1359" t="str">
        <f>Zusatzeingaben!C35</f>
        <v>ja</v>
      </c>
      <c r="D10" s="1360">
        <f>IF(Zusatzeingaben!D33&gt;0,Zusatzeingaben!D35,0)</f>
        <v>0</v>
      </c>
      <c r="E10" s="1360">
        <f>IF(Zusatzeingaben!E33&gt;0,Zusatzeingaben!E35,0)</f>
        <v>0</v>
      </c>
      <c r="F10" s="1360">
        <f>IF(Zusatzeingaben!F33&gt;0,Zusatzeingaben!F35,0)</f>
        <v>0</v>
      </c>
      <c r="G10" s="1360">
        <f>IF(Zusatzeingaben!G33&gt;0,Zusatzeingaben!G35,0)</f>
        <v>0</v>
      </c>
      <c r="H10" s="1360">
        <f>IF(Zusatzeingaben!H33&gt;0,Zusatzeingaben!H35,0)</f>
        <v>0</v>
      </c>
      <c r="I10" s="1361">
        <f>IF(Zusatzeingaben!I33&gt;0,Zusatzeingaben!I35,0)</f>
        <v>0</v>
      </c>
      <c r="J10" s="1737"/>
      <c r="K10" s="1041" t="str">
        <f>Wohngeld!A10</f>
        <v>Mietenstufe</v>
      </c>
      <c r="L10" s="1158" t="str">
        <f>Wohngeld!B10</f>
        <v>VI</v>
      </c>
      <c r="M10" s="1013">
        <f>Wohngeld!C10</f>
        <v>0</v>
      </c>
      <c r="N10" s="1013">
        <f>Wohngeld!D10</f>
        <v>0</v>
      </c>
      <c r="O10" s="1013">
        <f>Wohngeld!E10</f>
        <v>0</v>
      </c>
      <c r="P10" s="316">
        <f>Wohngeld!F10</f>
        <v>0</v>
      </c>
      <c r="Q10" s="316">
        <f>Wohngeld!G10</f>
        <v>0</v>
      </c>
      <c r="R10" s="316">
        <f>Wohngeld!H10</f>
        <v>0</v>
      </c>
      <c r="S10" s="317">
        <f>Wohngeld!I10</f>
        <v>0</v>
      </c>
      <c r="T10" s="1737"/>
      <c r="U10" s="1776" t="str">
        <f>Kinderzuschlag!A172</f>
        <v>verbleibender Kinderzuschlag</v>
      </c>
      <c r="V10" s="1772">
        <f>Kinderzuschlag!B172</f>
        <v>0</v>
      </c>
      <c r="W10" s="1774">
        <f>Kinderzuschlag!C172</f>
        <v>0</v>
      </c>
      <c r="X10" s="1774">
        <f>Kinderzuschlag!D172</f>
        <v>0</v>
      </c>
      <c r="Y10" s="1793">
        <f>Kinderzuschlag!E172</f>
        <v>0</v>
      </c>
      <c r="Z10" s="1793">
        <f>Kinderzuschlag!F172</f>
        <v>0</v>
      </c>
      <c r="AA10" s="1793">
        <f>Kinderzuschlag!G172</f>
        <v>0</v>
      </c>
      <c r="AB10" s="1793">
        <f>Kinderzuschlag!H172</f>
        <v>0</v>
      </c>
      <c r="AC10" s="1794">
        <f>Kinderzuschlag!I172</f>
        <v>0</v>
      </c>
      <c r="AD10" s="1737"/>
      <c r="AE10" s="826" t="str">
        <f>Zuschuss§26!A10</f>
        <v>erwerbsfähig</v>
      </c>
      <c r="AF10" s="34">
        <f>Zuschuss§26!B10</f>
        <v>0</v>
      </c>
      <c r="AG10" s="950" t="str">
        <f>Zuschuss§26!C10</f>
        <v>ja</v>
      </c>
      <c r="AH10" s="951" t="str">
        <f>Zuschuss§26!D10</f>
        <v>ja</v>
      </c>
      <c r="AI10" s="951" t="str">
        <f>Zuschuss§26!E10</f>
        <v>ja</v>
      </c>
      <c r="AJ10" s="951" t="str">
        <f>Zuschuss§26!F10</f>
        <v>ja</v>
      </c>
      <c r="AK10" s="952" t="str">
        <f>Zuschuss§26!G10</f>
        <v>ja</v>
      </c>
    </row>
    <row r="11" spans="1:37" ht="21" thickBot="1">
      <c r="A11" s="1310" t="s">
        <v>52</v>
      </c>
      <c r="B11" s="1372">
        <f>SUM(C11:I11)</f>
        <v>416</v>
      </c>
      <c r="C11" s="1373">
        <f>Zusatzeingaben!C33</f>
        <v>416</v>
      </c>
      <c r="D11" s="1374">
        <f>Zusatzeingaben!D33</f>
        <v>0</v>
      </c>
      <c r="E11" s="1374">
        <f>Zusatzeingaben!E33</f>
        <v>0</v>
      </c>
      <c r="F11" s="1374">
        <f>Zusatzeingaben!F33</f>
        <v>0</v>
      </c>
      <c r="G11" s="1374">
        <f>Zusatzeingaben!G33</f>
        <v>0</v>
      </c>
      <c r="H11" s="1374">
        <f>Zusatzeingaben!H33</f>
        <v>0</v>
      </c>
      <c r="I11" s="1375">
        <f>Zusatzeingaben!I33</f>
        <v>0</v>
      </c>
      <c r="J11" s="1737"/>
      <c r="K11" s="1041" t="str">
        <f>Wohngeld!A11</f>
        <v>Wohnverhältnis</v>
      </c>
      <c r="L11" s="1045" t="str">
        <f>Wohngeld!B11</f>
        <v>Miete</v>
      </c>
      <c r="M11" s="1013">
        <f>Wohngeld!C11</f>
        <v>0</v>
      </c>
      <c r="N11" s="1013">
        <f>Wohngeld!D11</f>
        <v>0</v>
      </c>
      <c r="O11" s="1013">
        <f>Wohngeld!E11</f>
        <v>0</v>
      </c>
      <c r="P11" s="316">
        <f>Wohngeld!F11</f>
        <v>0</v>
      </c>
      <c r="Q11" s="316">
        <f>Wohngeld!G11</f>
        <v>0</v>
      </c>
      <c r="R11" s="316">
        <f>Wohngeld!H11</f>
        <v>0</v>
      </c>
      <c r="S11" s="317">
        <f>Wohngeld!I11</f>
        <v>0</v>
      </c>
      <c r="T11" s="1737"/>
      <c r="U11" s="1768" t="str">
        <f>Kinderzuschlag!A173</f>
        <v>Einkommen der Eltern</v>
      </c>
      <c r="V11" s="1793">
        <f>Kinderzuschlag!B173</f>
        <v>0</v>
      </c>
      <c r="W11" s="1774">
        <f>Kinderzuschlag!C173</f>
        <v>0</v>
      </c>
      <c r="X11" s="1774">
        <f>Kinderzuschlag!D173</f>
        <v>0</v>
      </c>
      <c r="Y11" s="1774">
        <f>Kinderzuschlag!E173</f>
        <v>0</v>
      </c>
      <c r="Z11" s="1774">
        <f>Kinderzuschlag!F173</f>
        <v>0</v>
      </c>
      <c r="AA11" s="1774">
        <f>Kinderzuschlag!G173</f>
        <v>0</v>
      </c>
      <c r="AB11" s="1774">
        <f>Kinderzuschlag!H173</f>
        <v>0</v>
      </c>
      <c r="AC11" s="1775">
        <f>Kinderzuschlag!I173</f>
        <v>0</v>
      </c>
      <c r="AD11" s="1737"/>
      <c r="AE11" s="174">
        <f>Zuschuss§26!A11</f>
        <v>0</v>
      </c>
      <c r="AF11" s="571">
        <f>Zuschuss§26!B11</f>
        <v>0</v>
      </c>
      <c r="AG11" s="883">
        <f>Zuschuss§26!C11</f>
        <v>0</v>
      </c>
      <c r="AH11" s="883">
        <f>Zuschuss§26!D11</f>
        <v>0</v>
      </c>
      <c r="AI11" s="883">
        <f>Zuschuss§26!E11</f>
        <v>0</v>
      </c>
      <c r="AJ11" s="883">
        <f>Zuschuss§26!F11</f>
        <v>0</v>
      </c>
      <c r="AK11" s="885">
        <f>Zuschuss§26!G11</f>
        <v>0</v>
      </c>
    </row>
    <row r="12" spans="1:37" ht="20.25">
      <c r="A12" s="1311" t="s">
        <v>19</v>
      </c>
      <c r="B12" s="1376"/>
      <c r="C12" s="1377"/>
      <c r="D12" s="1378"/>
      <c r="E12" s="1378"/>
      <c r="F12" s="1378"/>
      <c r="G12" s="1378"/>
      <c r="H12" s="1378"/>
      <c r="I12" s="1379"/>
      <c r="J12" s="1737"/>
      <c r="K12" s="1038" t="str">
        <f>Wohngeld!A12</f>
        <v>tatsächliche monatliche Bruttokaltmiete</v>
      </c>
      <c r="L12" s="766">
        <f>Wohngeld!B12</f>
        <v>0</v>
      </c>
      <c r="M12" s="137">
        <f>Wohngeld!C12</f>
        <v>0</v>
      </c>
      <c r="N12" s="137">
        <f>Wohngeld!D12</f>
        <v>0</v>
      </c>
      <c r="O12" s="137">
        <f>Wohngeld!E12</f>
        <v>0</v>
      </c>
      <c r="P12" s="137">
        <f>Wohngeld!F12</f>
        <v>0</v>
      </c>
      <c r="Q12" s="137">
        <f>Wohngeld!G12</f>
        <v>0</v>
      </c>
      <c r="R12" s="137">
        <f>Wohngeld!H12</f>
        <v>0</v>
      </c>
      <c r="S12" s="175">
        <f>Wohngeld!I12</f>
        <v>0</v>
      </c>
      <c r="T12" s="1737"/>
      <c r="U12" s="1768" t="str">
        <f>Kinderzuschlag!A174</f>
        <v>Erwerbseinkommen der Eltern</v>
      </c>
      <c r="V12" s="1772">
        <f>Kinderzuschlag!B174</f>
        <v>0</v>
      </c>
      <c r="W12" s="1795">
        <f>Kinderzuschlag!C174</f>
        <v>0</v>
      </c>
      <c r="X12" s="1795">
        <f>Kinderzuschlag!D174</f>
        <v>0</v>
      </c>
      <c r="Y12" s="1795">
        <f>Kinderzuschlag!E174</f>
        <v>0</v>
      </c>
      <c r="Z12" s="1795">
        <f>Kinderzuschlag!F174</f>
        <v>0</v>
      </c>
      <c r="AA12" s="1774">
        <f>Kinderzuschlag!G174</f>
        <v>0</v>
      </c>
      <c r="AB12" s="1774">
        <f>Kinderzuschlag!H174</f>
        <v>0</v>
      </c>
      <c r="AC12" s="1775">
        <f>Kinderzuschlag!I174</f>
        <v>0</v>
      </c>
      <c r="AD12" s="1737"/>
      <c r="AE12" s="954" t="str">
        <f>Zuschuss§26!A12</f>
        <v>Kranken- und Pflegeversicherung (§ 26)</v>
      </c>
      <c r="AF12" s="887">
        <f>Zuschuss§26!B12</f>
        <v>0</v>
      </c>
      <c r="AG12" s="888">
        <f>Zuschuss§26!C12</f>
        <v>0</v>
      </c>
      <c r="AH12" s="888">
        <f>Zuschuss§26!D12</f>
        <v>0</v>
      </c>
      <c r="AI12" s="888">
        <f>Zuschuss§26!E12</f>
        <v>0</v>
      </c>
      <c r="AJ12" s="888">
        <f>Zuschuss§26!F12</f>
        <v>0</v>
      </c>
      <c r="AK12" s="889">
        <f>Zuschuss§26!G12</f>
        <v>0</v>
      </c>
    </row>
    <row r="13" spans="1:37" ht="20.25">
      <c r="A13" s="1312">
        <f>IF(B13&gt;0,"Schwangerschaft",0)</f>
        <v>0</v>
      </c>
      <c r="B13" s="1380">
        <f t="shared" ref="B13:B19" si="0">SUM(C13:I13)</f>
        <v>0</v>
      </c>
      <c r="C13" s="1376">
        <f>IF(OR(Zusatzeingaben!C37="",C10="nur Mehrbedarf"),0,Zusatzeingaben!C45)</f>
        <v>0</v>
      </c>
      <c r="D13" s="1381">
        <f>IF(OR(Zusatzeingaben!D37="",D10="nur Mehrbedarf"),0,Zusatzeingaben!D45)</f>
        <v>0</v>
      </c>
      <c r="E13" s="1381">
        <f>IF(Zusatzeingaben!E37="",0,Zusatzeingaben!E45)</f>
        <v>0</v>
      </c>
      <c r="F13" s="1381"/>
      <c r="G13" s="1381"/>
      <c r="H13" s="1381"/>
      <c r="I13" s="1382"/>
      <c r="J13" s="1737"/>
      <c r="K13" s="1039">
        <f>Wohngeld!A13</f>
        <v>0</v>
      </c>
      <c r="L13" s="766">
        <f>Wohngeld!B13</f>
        <v>0</v>
      </c>
      <c r="M13" s="137">
        <f>Wohngeld!C13</f>
        <v>0</v>
      </c>
      <c r="N13" s="137">
        <f>Wohngeld!D13</f>
        <v>0</v>
      </c>
      <c r="O13" s="137">
        <f>Wohngeld!E13</f>
        <v>0</v>
      </c>
      <c r="P13" s="137">
        <f>Wohngeld!F13</f>
        <v>0</v>
      </c>
      <c r="Q13" s="137">
        <f>Wohngeld!G13</f>
        <v>0</v>
      </c>
      <c r="R13" s="137">
        <f>Wohngeld!H13</f>
        <v>0</v>
      </c>
      <c r="S13" s="175">
        <f>Wohngeld!I13</f>
        <v>0</v>
      </c>
      <c r="T13" s="1737"/>
      <c r="U13" s="1768" t="str">
        <f>Kinderzuschlag!A175</f>
        <v>Sonstiges Einkommen der Eltern</v>
      </c>
      <c r="V13" s="1772">
        <f>Kinderzuschlag!B175</f>
        <v>0</v>
      </c>
      <c r="W13" s="1774">
        <f>Kinderzuschlag!C175</f>
        <v>0</v>
      </c>
      <c r="X13" s="1774">
        <f>Kinderzuschlag!D175</f>
        <v>0</v>
      </c>
      <c r="Y13" s="1774">
        <f>Kinderzuschlag!E175</f>
        <v>0</v>
      </c>
      <c r="Z13" s="1774">
        <f>Kinderzuschlag!F175</f>
        <v>0</v>
      </c>
      <c r="AA13" s="1774">
        <f>Kinderzuschlag!G175</f>
        <v>0</v>
      </c>
      <c r="AB13" s="1774">
        <f>Kinderzuschlag!H175</f>
        <v>0</v>
      </c>
      <c r="AC13" s="1775">
        <f>Kinderzuschlag!I175</f>
        <v>0</v>
      </c>
      <c r="AD13" s="1737"/>
      <c r="AE13" s="901" t="str">
        <f>Zuschuss§26!A13</f>
        <v>Private Krankenversicherung</v>
      </c>
      <c r="AF13" s="40">
        <f>Zuschuss§26!B13</f>
        <v>0</v>
      </c>
      <c r="AG13" s="21">
        <f>Zuschuss§26!C13</f>
        <v>0</v>
      </c>
      <c r="AH13" s="21">
        <f>Zuschuss§26!D13</f>
        <v>0</v>
      </c>
      <c r="AI13" s="21">
        <f>Zuschuss§26!E13</f>
        <v>0</v>
      </c>
      <c r="AJ13" s="21">
        <f>Zuschuss§26!F13</f>
        <v>0</v>
      </c>
      <c r="AK13" s="88">
        <f>Zuschuss§26!G13</f>
        <v>0</v>
      </c>
    </row>
    <row r="14" spans="1:37" ht="20.25">
      <c r="A14" s="1312">
        <f>IF(B14&gt;0,"Alleinerziehende",0)</f>
        <v>0</v>
      </c>
      <c r="B14" s="1380">
        <f>C14</f>
        <v>0</v>
      </c>
      <c r="C14" s="1376">
        <f>IF(C10="nur Mehrbedarf",0,Zusatzeingaben!B46)</f>
        <v>0</v>
      </c>
      <c r="D14" s="1381"/>
      <c r="E14" s="1381"/>
      <c r="F14" s="1381"/>
      <c r="G14" s="1381"/>
      <c r="H14" s="1381"/>
      <c r="I14" s="1382"/>
      <c r="J14" s="1737"/>
      <c r="K14" s="1040">
        <f>Wohngeld!A14</f>
        <v>0</v>
      </c>
      <c r="L14" s="766">
        <f>Wohngeld!B14</f>
        <v>0</v>
      </c>
      <c r="M14" s="2147">
        <f>Wohngeld!C14</f>
        <v>0</v>
      </c>
      <c r="N14" s="2147"/>
      <c r="O14" s="137">
        <f>Wohngeld!E14</f>
        <v>0</v>
      </c>
      <c r="P14" s="137">
        <f>Wohngeld!F14</f>
        <v>0</v>
      </c>
      <c r="Q14" s="137">
        <f>Wohngeld!G14</f>
        <v>0</v>
      </c>
      <c r="R14" s="137">
        <f>Wohngeld!H14</f>
        <v>0</v>
      </c>
      <c r="S14" s="175">
        <f>Wohngeld!I14</f>
        <v>0</v>
      </c>
      <c r="T14" s="1737"/>
      <c r="U14" s="1796" t="str">
        <f>Kinderzuschlag!A176</f>
        <v>Bemessungsgrenze der Eltern</v>
      </c>
      <c r="V14" s="1797">
        <f>Kinderzuschlag!B176</f>
        <v>0</v>
      </c>
      <c r="W14" s="1774">
        <f>Kinderzuschlag!C176</f>
        <v>0</v>
      </c>
      <c r="X14" s="1774">
        <f>Kinderzuschlag!D176</f>
        <v>0</v>
      </c>
      <c r="Y14" s="1774">
        <f>Kinderzuschlag!E176</f>
        <v>0</v>
      </c>
      <c r="Z14" s="1774">
        <f>Kinderzuschlag!F176</f>
        <v>0</v>
      </c>
      <c r="AA14" s="1774">
        <f>Kinderzuschlag!G176</f>
        <v>0</v>
      </c>
      <c r="AB14" s="1774">
        <f>Kinderzuschlag!H176</f>
        <v>0</v>
      </c>
      <c r="AC14" s="1775">
        <f>Kinderzuschlag!I176</f>
        <v>0</v>
      </c>
      <c r="AD14" s="1737"/>
      <c r="AE14" s="877" t="str">
        <f>Zuschuss§26!A14</f>
        <v>Beitrag im (fiktiven) Basistarif</v>
      </c>
      <c r="AF14" s="962">
        <f>Zuschuss§26!B14</f>
        <v>0</v>
      </c>
      <c r="AG14" s="26">
        <f>Zuschuss§26!C14</f>
        <v>0</v>
      </c>
      <c r="AH14" s="129">
        <f>Zuschuss§26!D14</f>
        <v>0</v>
      </c>
      <c r="AI14" s="26">
        <f>Zuschuss§26!E14</f>
        <v>0</v>
      </c>
      <c r="AJ14" s="26">
        <f>Zuschuss§26!F14</f>
        <v>0</v>
      </c>
      <c r="AK14" s="46">
        <f>Zuschuss§26!G14</f>
        <v>0</v>
      </c>
    </row>
    <row r="15" spans="1:37" ht="20.25">
      <c r="A15" s="1312">
        <f>IF(B15&gt;0,"behinderter Mensch, Teilhabe",0)</f>
        <v>0</v>
      </c>
      <c r="B15" s="1380">
        <f t="shared" si="0"/>
        <v>0</v>
      </c>
      <c r="C15" s="1376">
        <f>IF(Zusatzeingaben!C34="ja",Zusatzeingaben!C92,0)</f>
        <v>0</v>
      </c>
      <c r="D15" s="1381">
        <f>IF(Zusatzeingaben!D34="ja",Zusatzeingaben!D92,0)</f>
        <v>0</v>
      </c>
      <c r="E15" s="1381">
        <f>IF(Zusatzeingaben!E34="ja",Zusatzeingaben!E92,0)</f>
        <v>0</v>
      </c>
      <c r="F15" s="1381">
        <f>IF(Zusatzeingaben!F34="ja",Zusatzeingaben!F92,0)</f>
        <v>0</v>
      </c>
      <c r="G15" s="1381">
        <f>IF(Zusatzeingaben!G34="ja",Zusatzeingaben!G92,0)</f>
        <v>0</v>
      </c>
      <c r="H15" s="1381">
        <f>IF(Zusatzeingaben!H34="ja",Zusatzeingaben!H92,0)</f>
        <v>0</v>
      </c>
      <c r="I15" s="1382">
        <f>IF(Zusatzeingaben!I34="ja",Zusatzeingaben!I92,0)</f>
        <v>0</v>
      </c>
      <c r="J15" s="1737"/>
      <c r="K15" s="1040">
        <f>Wohngeld!A15</f>
        <v>0</v>
      </c>
      <c r="L15" s="766">
        <f>Wohngeld!B15</f>
        <v>0</v>
      </c>
      <c r="M15" s="137">
        <f>Wohngeld!C15</f>
        <v>0</v>
      </c>
      <c r="N15" s="137">
        <f>Wohngeld!D15</f>
        <v>0</v>
      </c>
      <c r="O15" s="137">
        <f>Wohngeld!E15</f>
        <v>0</v>
      </c>
      <c r="P15" s="137">
        <f>Wohngeld!F15</f>
        <v>0</v>
      </c>
      <c r="Q15" s="137">
        <f>Wohngeld!G15</f>
        <v>0</v>
      </c>
      <c r="R15" s="137">
        <f>Wohngeld!H15</f>
        <v>0</v>
      </c>
      <c r="S15" s="175">
        <f>Wohngeld!I15</f>
        <v>0</v>
      </c>
      <c r="T15" s="1737"/>
      <c r="U15" s="1798" t="str">
        <f>Kinderzuschlag!A177</f>
        <v>Regelbedarfe</v>
      </c>
      <c r="V15" s="1799">
        <f>Kinderzuschlag!B177</f>
        <v>416</v>
      </c>
      <c r="W15" s="1800">
        <f>Kinderzuschlag!C177</f>
        <v>416</v>
      </c>
      <c r="X15" s="1800">
        <f>Kinderzuschlag!D177</f>
        <v>0</v>
      </c>
      <c r="Y15" s="1774">
        <f>Kinderzuschlag!E177</f>
        <v>0</v>
      </c>
      <c r="Z15" s="1774">
        <f>Kinderzuschlag!F177</f>
        <v>0</v>
      </c>
      <c r="AA15" s="1774">
        <f>Kinderzuschlag!G177</f>
        <v>0</v>
      </c>
      <c r="AB15" s="1774">
        <f>Kinderzuschlag!H177</f>
        <v>0</v>
      </c>
      <c r="AC15" s="1775">
        <f>Kinderzuschlag!I177</f>
        <v>0</v>
      </c>
      <c r="AD15" s="1737"/>
      <c r="AE15" s="878" t="str">
        <f>Zuschuss§26!A15</f>
        <v>Beitrag in einem anderen Tarif</v>
      </c>
      <c r="AF15" s="963">
        <f>Zuschuss§26!B15</f>
        <v>0</v>
      </c>
      <c r="AG15" s="26">
        <f>Zuschuss§26!C15</f>
        <v>0</v>
      </c>
      <c r="AH15" s="26">
        <f>Zuschuss§26!D15</f>
        <v>0</v>
      </c>
      <c r="AI15" s="26">
        <f>Zuschuss§26!E15</f>
        <v>0</v>
      </c>
      <c r="AJ15" s="26">
        <f>Zuschuss§26!F15</f>
        <v>0</v>
      </c>
      <c r="AK15" s="46">
        <f>Zuschuss§26!G15</f>
        <v>0</v>
      </c>
    </row>
    <row r="16" spans="1:37" ht="20.25">
      <c r="A16" s="1312">
        <f>IF(B16&gt;0,"kostenaufwändige Ernährung",0)</f>
        <v>0</v>
      </c>
      <c r="B16" s="1380">
        <f t="shared" si="0"/>
        <v>0</v>
      </c>
      <c r="C16" s="1376">
        <f>IF(C10="nur Mehrbedarf",0,Zusatzeingaben!C93)</f>
        <v>0</v>
      </c>
      <c r="D16" s="1381">
        <f>IF(D10="nur Mehrbedarf",0,Zusatzeingaben!D93)</f>
        <v>0</v>
      </c>
      <c r="E16" s="1381">
        <f>Zusatzeingaben!E93</f>
        <v>0</v>
      </c>
      <c r="F16" s="1381">
        <f>Zusatzeingaben!F93</f>
        <v>0</v>
      </c>
      <c r="G16" s="1381">
        <f>Zusatzeingaben!G93</f>
        <v>0</v>
      </c>
      <c r="H16" s="1381">
        <f>Zusatzeingaben!H93</f>
        <v>0</v>
      </c>
      <c r="I16" s="1382">
        <f>Zusatzeingaben!I93</f>
        <v>0</v>
      </c>
      <c r="J16" s="1737"/>
      <c r="K16" s="1040">
        <f>Wohngeld!A16</f>
        <v>0</v>
      </c>
      <c r="L16" s="766">
        <f>Wohngeld!B16</f>
        <v>0</v>
      </c>
      <c r="M16" s="137">
        <f>Wohngeld!C16</f>
        <v>0</v>
      </c>
      <c r="N16" s="137">
        <f>Wohngeld!D16</f>
        <v>0</v>
      </c>
      <c r="O16" s="137">
        <f>Wohngeld!E16</f>
        <v>0</v>
      </c>
      <c r="P16" s="137">
        <f>Wohngeld!F16</f>
        <v>0</v>
      </c>
      <c r="Q16" s="137">
        <f>Wohngeld!G16</f>
        <v>0</v>
      </c>
      <c r="R16" s="137">
        <f>Wohngeld!H16</f>
        <v>0</v>
      </c>
      <c r="S16" s="175">
        <f>Wohngeld!I16</f>
        <v>0</v>
      </c>
      <c r="T16" s="1737"/>
      <c r="U16" s="1798" t="str">
        <f>Kinderzuschlag!A178</f>
        <v>Mehrbedarfe</v>
      </c>
      <c r="V16" s="1799">
        <f>Kinderzuschlag!B178</f>
        <v>0</v>
      </c>
      <c r="W16" s="1801">
        <f>Kinderzuschlag!C178</f>
        <v>0</v>
      </c>
      <c r="X16" s="1801">
        <f>Kinderzuschlag!D178</f>
        <v>0</v>
      </c>
      <c r="Y16" s="1774">
        <f>Kinderzuschlag!E178</f>
        <v>0</v>
      </c>
      <c r="Z16" s="1774">
        <f>Kinderzuschlag!F178</f>
        <v>0</v>
      </c>
      <c r="AA16" s="1774">
        <f>Kinderzuschlag!G178</f>
        <v>0</v>
      </c>
      <c r="AB16" s="1774">
        <f>Kinderzuschlag!H178</f>
        <v>0</v>
      </c>
      <c r="AC16" s="1775">
        <f>Kinderzuschlag!I178</f>
        <v>0</v>
      </c>
      <c r="AD16" s="1737"/>
      <c r="AE16" s="878">
        <f>Zuschuss§26!A16</f>
        <v>0</v>
      </c>
      <c r="AF16" s="963">
        <f>Zuschuss§26!B16</f>
        <v>0</v>
      </c>
      <c r="AG16" s="890">
        <f>Zuschuss§26!C16</f>
        <v>0</v>
      </c>
      <c r="AH16" s="890">
        <f>Zuschuss§26!D16</f>
        <v>0</v>
      </c>
      <c r="AI16" s="890">
        <f>Zuschuss§26!E16</f>
        <v>0</v>
      </c>
      <c r="AJ16" s="890">
        <f>Zuschuss§26!F16</f>
        <v>0</v>
      </c>
      <c r="AK16" s="917">
        <f>Zuschuss§26!G16</f>
        <v>0</v>
      </c>
    </row>
    <row r="17" spans="1:37" ht="21" thickBot="1">
      <c r="A17" s="1312">
        <f>IF(B17&gt;0,"unabweisbarer, lfd., besond. Bedarf",0)</f>
        <v>0</v>
      </c>
      <c r="B17" s="1380">
        <f t="shared" si="0"/>
        <v>0</v>
      </c>
      <c r="C17" s="1376">
        <f>IF(C10="nur Mehrbedarf",0,Zusatzeingaben!C94)</f>
        <v>0</v>
      </c>
      <c r="D17" s="1381">
        <f>IF(D10="nur Mehrbedarf",0,Zusatzeingaben!D94)</f>
        <v>0</v>
      </c>
      <c r="E17" s="1381">
        <f>Zusatzeingaben!E94</f>
        <v>0</v>
      </c>
      <c r="F17" s="1381">
        <f>Zusatzeingaben!F94</f>
        <v>0</v>
      </c>
      <c r="G17" s="1381">
        <f>Zusatzeingaben!G94</f>
        <v>0</v>
      </c>
      <c r="H17" s="1381">
        <f>Zusatzeingaben!H94</f>
        <v>0</v>
      </c>
      <c r="I17" s="1382">
        <f>Zusatzeingaben!I94</f>
        <v>0</v>
      </c>
      <c r="J17" s="1737"/>
      <c r="K17" s="1040">
        <f>Wohngeld!A17</f>
        <v>0</v>
      </c>
      <c r="L17" s="766">
        <f>Wohngeld!B17</f>
        <v>0</v>
      </c>
      <c r="M17" s="137">
        <f>Wohngeld!C17</f>
        <v>0</v>
      </c>
      <c r="N17" s="137">
        <f>Wohngeld!D17</f>
        <v>0</v>
      </c>
      <c r="O17" s="137">
        <f>Wohngeld!E17</f>
        <v>0</v>
      </c>
      <c r="P17" s="137">
        <f>Wohngeld!F17</f>
        <v>0</v>
      </c>
      <c r="Q17" s="137">
        <f>Wohngeld!G17</f>
        <v>0</v>
      </c>
      <c r="R17" s="137">
        <f>Wohngeld!H17</f>
        <v>0</v>
      </c>
      <c r="S17" s="175">
        <f>Wohngeld!I17</f>
        <v>0</v>
      </c>
      <c r="T17" s="1737"/>
      <c r="U17" s="1798" t="str">
        <f>Kinderzuschlag!A179</f>
        <v>Kosten der Unterkunft und Heizung</v>
      </c>
      <c r="V17" s="1802">
        <f>Kinderzuschlag!B179</f>
        <v>0</v>
      </c>
      <c r="W17" s="1803">
        <f>Kinderzuschlag!C179</f>
        <v>0</v>
      </c>
      <c r="X17" s="1774">
        <f>Kinderzuschlag!D179</f>
        <v>0</v>
      </c>
      <c r="Y17" s="1774">
        <f>Kinderzuschlag!E179</f>
        <v>0</v>
      </c>
      <c r="Z17" s="1774">
        <f>Kinderzuschlag!F179</f>
        <v>0</v>
      </c>
      <c r="AA17" s="1774">
        <f>Kinderzuschlag!G179</f>
        <v>0</v>
      </c>
      <c r="AB17" s="1774">
        <f>Kinderzuschlag!H179</f>
        <v>0</v>
      </c>
      <c r="AC17" s="1775">
        <f>Kinderzuschlag!I179</f>
        <v>0</v>
      </c>
      <c r="AD17" s="1737"/>
      <c r="AE17" s="878">
        <f>Zuschuss§26!A17</f>
        <v>0</v>
      </c>
      <c r="AF17" s="964">
        <f>Zuschuss§26!B17</f>
        <v>0</v>
      </c>
      <c r="AG17" s="890">
        <f>Zuschuss§26!C17</f>
        <v>0</v>
      </c>
      <c r="AH17" s="890">
        <f>Zuschuss§26!D17</f>
        <v>0</v>
      </c>
      <c r="AI17" s="890">
        <f>Zuschuss§26!E17</f>
        <v>0</v>
      </c>
      <c r="AJ17" s="890">
        <f>Zuschuss§26!F17</f>
        <v>0</v>
      </c>
      <c r="AK17" s="890">
        <f>Zuschuss§26!G17</f>
        <v>0</v>
      </c>
    </row>
    <row r="18" spans="1:37" ht="21" thickTop="1">
      <c r="A18" s="1312">
        <f>IF(B18&gt;0,"Warmwasser dezentral",0)</f>
        <v>0</v>
      </c>
      <c r="B18" s="1380">
        <f t="shared" si="0"/>
        <v>0</v>
      </c>
      <c r="C18" s="1376">
        <f>Zusatzeingaben!C98</f>
        <v>0</v>
      </c>
      <c r="D18" s="1381">
        <f>Zusatzeingaben!D98</f>
        <v>0</v>
      </c>
      <c r="E18" s="1381">
        <f>Zusatzeingaben!E98</f>
        <v>0</v>
      </c>
      <c r="F18" s="1381">
        <f>Zusatzeingaben!F98</f>
        <v>0</v>
      </c>
      <c r="G18" s="1381">
        <f>Zusatzeingaben!G98</f>
        <v>0</v>
      </c>
      <c r="H18" s="1381">
        <f>Zusatzeingaben!H98</f>
        <v>0</v>
      </c>
      <c r="I18" s="1382">
        <f>Zusatzeingaben!I98</f>
        <v>0</v>
      </c>
      <c r="J18" s="1737"/>
      <c r="K18" s="1038">
        <f>Wohngeld!A18</f>
        <v>0</v>
      </c>
      <c r="L18" s="766">
        <f>Wohngeld!B18</f>
        <v>0</v>
      </c>
      <c r="M18" s="137">
        <f>Wohngeld!C18</f>
        <v>0</v>
      </c>
      <c r="N18" s="137">
        <f>Wohngeld!D18</f>
        <v>0</v>
      </c>
      <c r="O18" s="137">
        <f>Wohngeld!E18</f>
        <v>0</v>
      </c>
      <c r="P18" s="137">
        <f>Wohngeld!F18</f>
        <v>0</v>
      </c>
      <c r="Q18" s="137">
        <f>Wohngeld!G18</f>
        <v>0</v>
      </c>
      <c r="R18" s="137">
        <f>Wohngeld!H18</f>
        <v>0</v>
      </c>
      <c r="S18" s="175">
        <f>Wohngeld!I18</f>
        <v>0</v>
      </c>
      <c r="T18" s="1737"/>
      <c r="U18" s="1804" t="str">
        <f>Kinderzuschlag!A180</f>
        <v>Summe</v>
      </c>
      <c r="V18" s="1805">
        <f>Kinderzuschlag!B180</f>
        <v>416</v>
      </c>
      <c r="W18" s="1774">
        <f>Kinderzuschlag!C180</f>
        <v>0</v>
      </c>
      <c r="X18" s="1774">
        <f>Kinderzuschlag!D180</f>
        <v>0</v>
      </c>
      <c r="Y18" s="1774">
        <f>Kinderzuschlag!E180</f>
        <v>0</v>
      </c>
      <c r="Z18" s="1774">
        <f>Kinderzuschlag!F180</f>
        <v>0</v>
      </c>
      <c r="AA18" s="1774">
        <f>Kinderzuschlag!G180</f>
        <v>0</v>
      </c>
      <c r="AB18" s="1774">
        <f>Kinderzuschlag!H180</f>
        <v>0</v>
      </c>
      <c r="AC18" s="1775">
        <f>Kinderzuschlag!I180</f>
        <v>0</v>
      </c>
      <c r="AD18" s="1737"/>
      <c r="AE18" s="878">
        <f>Zuschuss§26!A18</f>
        <v>0</v>
      </c>
      <c r="AF18" s="963">
        <f>Zuschuss§26!B18</f>
        <v>0</v>
      </c>
      <c r="AG18" s="907">
        <f>Zuschuss§26!C18</f>
        <v>0</v>
      </c>
      <c r="AH18" s="907">
        <f>Zuschuss§26!D18</f>
        <v>0</v>
      </c>
      <c r="AI18" s="907">
        <f>Zuschuss§26!E18</f>
        <v>0</v>
      </c>
      <c r="AJ18" s="907">
        <f>Zuschuss§26!F18</f>
        <v>0</v>
      </c>
      <c r="AK18" s="907">
        <f>Zuschuss§26!G18</f>
        <v>0</v>
      </c>
    </row>
    <row r="19" spans="1:37" ht="21" thickBot="1">
      <c r="A19" s="1312">
        <f>IF(B19&gt;0,"erwerbsunfähig, Merkzeichen G",0)</f>
        <v>0</v>
      </c>
      <c r="B19" s="1380">
        <f t="shared" si="0"/>
        <v>0</v>
      </c>
      <c r="C19" s="1376">
        <f>IF(Zusatzeingaben!C34="nein",Zusatzeingaben!C100,0)</f>
        <v>0</v>
      </c>
      <c r="D19" s="1381">
        <f>IF(Zusatzeingaben!D34="nein",Zusatzeingaben!D100,0)</f>
        <v>0</v>
      </c>
      <c r="E19" s="1381">
        <f>IF(Zusatzeingaben!E34="nein",Zusatzeingaben!E100,0)</f>
        <v>0</v>
      </c>
      <c r="F19" s="1381">
        <f>IF(Zusatzeingaben!F34="nein",Zusatzeingaben!F100,0)</f>
        <v>0</v>
      </c>
      <c r="G19" s="1381">
        <f>IF(Zusatzeingaben!G34="nein",Zusatzeingaben!G100,0)</f>
        <v>0</v>
      </c>
      <c r="H19" s="1381">
        <f>IF(Zusatzeingaben!H34="nein",Zusatzeingaben!H100,0)</f>
        <v>0</v>
      </c>
      <c r="I19" s="1382">
        <f>IF(Zusatzeingaben!I34="nein",Zusatzeingaben!I100,0)</f>
        <v>0</v>
      </c>
      <c r="J19" s="1737"/>
      <c r="K19" s="1042" t="str">
        <f>Wohngeld!A19</f>
        <v>Höchstbetrag nach § 12 WoGG</v>
      </c>
      <c r="L19" s="1012">
        <f>Wohngeld!B19</f>
        <v>522</v>
      </c>
      <c r="M19" s="215">
        <f>Wohngeld!C19</f>
        <v>0</v>
      </c>
      <c r="N19" s="215">
        <f>Wohngeld!D19</f>
        <v>0</v>
      </c>
      <c r="O19" s="215">
        <f>Wohngeld!E19</f>
        <v>0</v>
      </c>
      <c r="P19" s="215">
        <f>Wohngeld!F19</f>
        <v>0</v>
      </c>
      <c r="Q19" s="215">
        <f>Wohngeld!G19</f>
        <v>0</v>
      </c>
      <c r="R19" s="215">
        <f>Wohngeld!H19</f>
        <v>0</v>
      </c>
      <c r="S19" s="1014">
        <f>Wohngeld!I19</f>
        <v>0</v>
      </c>
      <c r="T19" s="1737"/>
      <c r="U19" s="1796" t="str">
        <f>Kinderzuschlag!A181</f>
        <v>Höchsteinkommensgrenze der Eltern</v>
      </c>
      <c r="V19" s="1774">
        <f>Kinderzuschlag!B181</f>
        <v>0</v>
      </c>
      <c r="W19" s="1774">
        <f>Kinderzuschlag!C181</f>
        <v>0</v>
      </c>
      <c r="X19" s="1774">
        <f>Kinderzuschlag!D181</f>
        <v>0</v>
      </c>
      <c r="Y19" s="1774">
        <f>Kinderzuschlag!E181</f>
        <v>0</v>
      </c>
      <c r="Z19" s="1774">
        <f>Kinderzuschlag!F181</f>
        <v>0</v>
      </c>
      <c r="AA19" s="1774">
        <f>Kinderzuschlag!G181</f>
        <v>0</v>
      </c>
      <c r="AB19" s="1774">
        <f>Kinderzuschlag!H181</f>
        <v>0</v>
      </c>
      <c r="AC19" s="1775">
        <f>Kinderzuschlag!I181</f>
        <v>0</v>
      </c>
      <c r="AD19" s="1737"/>
      <c r="AE19" s="880" t="str">
        <f>Zuschuss§26!A19</f>
        <v>Beitrag zur privaten Pflegeversicherung</v>
      </c>
      <c r="AF19" s="965">
        <f>Zuschuss§26!B19</f>
        <v>0</v>
      </c>
      <c r="AG19" s="39">
        <f>Zuschuss§26!C19</f>
        <v>0</v>
      </c>
      <c r="AH19" s="39">
        <f>Zuschuss§26!D19</f>
        <v>0</v>
      </c>
      <c r="AI19" s="39">
        <f>Zuschuss§26!E19</f>
        <v>0</v>
      </c>
      <c r="AJ19" s="39">
        <f>Zuschuss§26!F19</f>
        <v>0</v>
      </c>
      <c r="AK19" s="96">
        <f>Zuschuss§26!G19</f>
        <v>0</v>
      </c>
    </row>
    <row r="20" spans="1:37" ht="18" customHeight="1" thickTop="1" thickBot="1">
      <c r="A20" s="1313" t="s">
        <v>13</v>
      </c>
      <c r="B20" s="1376"/>
      <c r="C20" s="1383"/>
      <c r="D20" s="1384"/>
      <c r="E20" s="1384"/>
      <c r="F20" s="1378"/>
      <c r="G20" s="1378"/>
      <c r="H20" s="1378"/>
      <c r="I20" s="1379"/>
      <c r="J20" s="1737"/>
      <c r="K20" s="1096" t="str">
        <f>Wohngeld!A20</f>
        <v>zu berücksichtigende Miete</v>
      </c>
      <c r="L20" s="1097">
        <f>Wohngeld!B20</f>
        <v>0</v>
      </c>
      <c r="M20" s="1043">
        <f>Wohngeld!C20</f>
        <v>0</v>
      </c>
      <c r="N20" s="1043">
        <f>Wohngeld!D20</f>
        <v>0</v>
      </c>
      <c r="O20" s="1043">
        <f>Wohngeld!E20</f>
        <v>0</v>
      </c>
      <c r="P20" s="1043">
        <f>Wohngeld!F20</f>
        <v>0</v>
      </c>
      <c r="Q20" s="1043">
        <f>Wohngeld!G20</f>
        <v>0</v>
      </c>
      <c r="R20" s="1043">
        <f>Wohngeld!H20</f>
        <v>0</v>
      </c>
      <c r="S20" s="1044">
        <f>Wohngeld!I20</f>
        <v>0</v>
      </c>
      <c r="T20" s="1737"/>
      <c r="U20" s="1798" t="str">
        <f>Kinderzuschlag!A182</f>
        <v>Bemessungsgrenze</v>
      </c>
      <c r="V20" s="1799">
        <f>Kinderzuschlag!B182</f>
        <v>416</v>
      </c>
      <c r="W20" s="1774">
        <f>Kinderzuschlag!C182</f>
        <v>0</v>
      </c>
      <c r="X20" s="1774">
        <f>Kinderzuschlag!D182</f>
        <v>0</v>
      </c>
      <c r="Y20" s="1774">
        <f>Kinderzuschlag!E182</f>
        <v>0</v>
      </c>
      <c r="Z20" s="1774">
        <f>Kinderzuschlag!F182</f>
        <v>0</v>
      </c>
      <c r="AA20" s="1774">
        <f>Kinderzuschlag!G182</f>
        <v>0</v>
      </c>
      <c r="AB20" s="1774">
        <f>Kinderzuschlag!H182</f>
        <v>0</v>
      </c>
      <c r="AC20" s="1775">
        <f>Kinderzuschlag!I182</f>
        <v>0</v>
      </c>
      <c r="AD20" s="1737"/>
      <c r="AE20" s="881">
        <f>Zuschuss§26!A20</f>
        <v>0</v>
      </c>
      <c r="AF20" s="882">
        <f>Zuschuss§26!B20</f>
        <v>0</v>
      </c>
      <c r="AG20" s="622">
        <f>Zuschuss§26!C20</f>
        <v>0</v>
      </c>
      <c r="AH20" s="622">
        <f>Zuschuss§26!D20</f>
        <v>0</v>
      </c>
      <c r="AI20" s="622">
        <f>Zuschuss§26!E20</f>
        <v>0</v>
      </c>
      <c r="AJ20" s="622">
        <f>Zuschuss§26!F20</f>
        <v>0</v>
      </c>
      <c r="AK20" s="953">
        <f>Zuschuss§26!G20</f>
        <v>0</v>
      </c>
    </row>
    <row r="21" spans="1:37" ht="18" hidden="1" customHeight="1" thickBot="1">
      <c r="A21" s="1314"/>
      <c r="B21" s="1376">
        <f>Zusatzeingaben!C102</f>
        <v>0</v>
      </c>
      <c r="C21" s="1376">
        <f>B21/B7</f>
        <v>0</v>
      </c>
      <c r="D21" s="1381">
        <f>IF(D9=0,0,B21/B7)</f>
        <v>0</v>
      </c>
      <c r="E21" s="1381">
        <f>IF(Zusatzeingaben!E33=0,0,B21/B7)</f>
        <v>0</v>
      </c>
      <c r="F21" s="1381">
        <f>IF(Zusatzeingaben!F33=0,0,B21/B7)</f>
        <v>0</v>
      </c>
      <c r="G21" s="1381">
        <f>IF(Zusatzeingaben!G33=0,0,B21/B7)</f>
        <v>0</v>
      </c>
      <c r="H21" s="1381">
        <f>IF(Zusatzeingaben!H33=0,0,B21/B7)</f>
        <v>0</v>
      </c>
      <c r="I21" s="1382">
        <f>IF(Zusatzeingaben!I33=0,0,B21/B7)</f>
        <v>0</v>
      </c>
      <c r="J21" s="1737"/>
      <c r="K21" s="205">
        <f>Wohngeld!A21</f>
        <v>0</v>
      </c>
      <c r="L21" s="205">
        <f>Wohngeld!B21</f>
        <v>0</v>
      </c>
      <c r="M21" s="173">
        <f>Wohngeld!C21</f>
        <v>391</v>
      </c>
      <c r="N21" s="173">
        <f>Wohngeld!D21</f>
        <v>353</v>
      </c>
      <c r="O21" s="173">
        <f>Wohngeld!E21</f>
        <v>296</v>
      </c>
      <c r="P21" s="173">
        <f>Wohngeld!F21</f>
        <v>261</v>
      </c>
      <c r="Q21" s="173">
        <f>Wohngeld!G21</f>
        <v>229</v>
      </c>
      <c r="R21" s="173">
        <f>Wohngeld!H21</f>
        <v>313</v>
      </c>
      <c r="S21" s="205">
        <f>Wohngeld!I21</f>
        <v>0</v>
      </c>
      <c r="T21" s="1737"/>
      <c r="U21" s="1798" t="str">
        <f>Kinderzuschlag!A183</f>
        <v>Kinderzuschlag (ungem.)</v>
      </c>
      <c r="V21" s="1802">
        <f>Kinderzuschlag!B183</f>
        <v>0</v>
      </c>
      <c r="W21" s="1774">
        <f>Kinderzuschlag!C183</f>
        <v>0</v>
      </c>
      <c r="X21" s="1774">
        <f>Kinderzuschlag!D183</f>
        <v>0</v>
      </c>
      <c r="Y21" s="1774">
        <f>Kinderzuschlag!E183</f>
        <v>0</v>
      </c>
      <c r="Z21" s="1774">
        <f>Kinderzuschlag!F183</f>
        <v>0</v>
      </c>
      <c r="AA21" s="1774">
        <f>Kinderzuschlag!G183</f>
        <v>0</v>
      </c>
      <c r="AB21" s="1774">
        <f>Kinderzuschlag!H183</f>
        <v>0</v>
      </c>
      <c r="AC21" s="1775">
        <f>Kinderzuschlag!I183</f>
        <v>0</v>
      </c>
      <c r="AD21" s="1737"/>
      <c r="AE21" s="902" t="str">
        <f>Zuschuss§26!A21</f>
        <v>Gesetzliche Krankenversicherung</v>
      </c>
      <c r="AF21" s="886">
        <f>Zuschuss§26!B21</f>
        <v>0</v>
      </c>
      <c r="AG21" s="2121" t="str">
        <f>Zuschuss§26!C21</f>
        <v>Kommentare beachten und Einkommen im Arbeitsblatt "Eingaben" erfassen!</v>
      </c>
      <c r="AH21" s="2122"/>
      <c r="AI21" s="2122"/>
      <c r="AJ21" s="2122"/>
      <c r="AK21" s="2123"/>
    </row>
    <row r="22" spans="1:37" ht="23.25" hidden="1" customHeight="1">
      <c r="A22" s="1315"/>
      <c r="B22" s="1376">
        <f>SUM(C22:I22)</f>
        <v>0</v>
      </c>
      <c r="C22" s="1376">
        <f>C21</f>
        <v>0</v>
      </c>
      <c r="D22" s="1381">
        <f>D21</f>
        <v>0</v>
      </c>
      <c r="E22" s="1381">
        <f>IF(Zusatzeingaben!E8&gt;Zusatzeingaben!E2,E21*Zusatzeingaben!E14/30,IF(Zusatzeingaben!E18=25,E21*Zusatzeingaben!E10/30,E21))</f>
        <v>0</v>
      </c>
      <c r="F22" s="1381">
        <f>IF(Zusatzeingaben!F8&gt;Zusatzeingaben!E2,F21*Zusatzeingaben!F14/30,IF(Zusatzeingaben!F18=25,F21*Zusatzeingaben!F10/30,F21))</f>
        <v>0</v>
      </c>
      <c r="G22" s="1381">
        <f>IF(Zusatzeingaben!G8&gt;Zusatzeingaben!E2,G21*Zusatzeingaben!G14/30,IF(Zusatzeingaben!G18=25,G21*Zusatzeingaben!G10/30,G21))</f>
        <v>0</v>
      </c>
      <c r="H22" s="1381">
        <f>IF(Zusatzeingaben!H8&gt;Zusatzeingaben!E2,H21*Zusatzeingaben!H14/30,IF(Zusatzeingaben!H18=25,H21*Zusatzeingaben!H10/30,H21))</f>
        <v>0</v>
      </c>
      <c r="I22" s="1382">
        <f>IF(Zusatzeingaben!I8&gt;Zusatzeingaben!E2,I21*Zusatzeingaben!I14/30,IF(Zusatzeingaben!I18=25,I21*Zusatzeingaben!I10/30,I21))</f>
        <v>0</v>
      </c>
      <c r="J22" s="1737"/>
      <c r="K22" s="2112" t="str">
        <f>Wohngeld!A22</f>
        <v>Gesamteinkommen</v>
      </c>
      <c r="L22" s="2105"/>
      <c r="M22" s="2105"/>
      <c r="N22" s="2105"/>
      <c r="O22" s="2105"/>
      <c r="P22" s="2105"/>
      <c r="Q22" s="2105"/>
      <c r="R22" s="2105"/>
      <c r="S22" s="2106"/>
      <c r="T22" s="1737"/>
      <c r="U22" s="1804" t="str">
        <f>Kinderzuschlag!A184</f>
        <v>Summe</v>
      </c>
      <c r="V22" s="1805">
        <f>Kinderzuschlag!B184</f>
        <v>416</v>
      </c>
      <c r="W22" s="1774">
        <f>Kinderzuschlag!C184</f>
        <v>0</v>
      </c>
      <c r="X22" s="1774">
        <f>Kinderzuschlag!D184</f>
        <v>0</v>
      </c>
      <c r="Y22" s="1774">
        <f>Kinderzuschlag!E184</f>
        <v>0</v>
      </c>
      <c r="Z22" s="1774">
        <f>Kinderzuschlag!F184</f>
        <v>0</v>
      </c>
      <c r="AA22" s="1774">
        <f>Kinderzuschlag!G184</f>
        <v>0</v>
      </c>
      <c r="AB22" s="1774">
        <f>Kinderzuschlag!H184</f>
        <v>0</v>
      </c>
      <c r="AC22" s="1775">
        <f>Kinderzuschlag!I184</f>
        <v>0</v>
      </c>
      <c r="AD22" s="1737"/>
      <c r="AE22" s="879" t="str">
        <f>Zuschuss§26!A22</f>
        <v>Freiwilliger Beitrag zur gesetzlichen Krankenversicherung</v>
      </c>
      <c r="AF22" s="962">
        <f>Zuschuss§26!B22</f>
        <v>0</v>
      </c>
      <c r="AG22" s="26">
        <f>Zuschuss§26!C22</f>
        <v>0</v>
      </c>
      <c r="AH22" s="26">
        <f>Zuschuss§26!D22</f>
        <v>0</v>
      </c>
      <c r="AI22" s="26">
        <f>Zuschuss§26!E22</f>
        <v>0</v>
      </c>
      <c r="AJ22" s="26">
        <f>Zuschuss§26!F22</f>
        <v>0</v>
      </c>
      <c r="AK22" s="46">
        <f>Zuschuss§26!G22</f>
        <v>0</v>
      </c>
    </row>
    <row r="23" spans="1:37" ht="17.25" hidden="1" customHeight="1">
      <c r="A23" s="1314"/>
      <c r="B23" s="1376">
        <f>SUM(C23:I23)</f>
        <v>0</v>
      </c>
      <c r="C23" s="1376">
        <f>IF(AND(B22&lt;B21,C22=C21,C22&gt;0),C21+(B21-B22)/K22,C22)</f>
        <v>0</v>
      </c>
      <c r="D23" s="1381">
        <f>IF(AND(B22&lt;B21,D22=D21,D22&gt;0),D21+(B21-B22)/K22,D22)</f>
        <v>0</v>
      </c>
      <c r="E23" s="1381">
        <f>IF(AND(B22&lt;B21,E22=E21,E22&gt;0),E21+(B21-B22)/K22,E22)</f>
        <v>0</v>
      </c>
      <c r="F23" s="1381">
        <f>IF(AND(B22&lt;B21,F22=F21,F22&gt;0),F21+(B21-B22)/K22,F22)</f>
        <v>0</v>
      </c>
      <c r="G23" s="1381">
        <f>IF(AND(B22&lt;B21,G22=G21,G22&gt;0),G21+(B21-B22)/K22,G22)</f>
        <v>0</v>
      </c>
      <c r="H23" s="1381">
        <f>IF(AND(B22&lt;B21,H22=H21,H22&gt;0),H21+(B21-B22)/K22,H22)</f>
        <v>0</v>
      </c>
      <c r="I23" s="1382">
        <f>IF(AND(B22&lt;B21,I22=I21,I22&gt;0),I21+(B21-B22)/K22,I22)</f>
        <v>0</v>
      </c>
      <c r="J23" s="1737"/>
      <c r="K23" s="224">
        <f>Wohngeld!A23</f>
        <v>0</v>
      </c>
      <c r="L23" s="1002" t="str">
        <f>Wohngeld!B23</f>
        <v>BG insgesamt</v>
      </c>
      <c r="M23" s="1002" t="str">
        <f>Wohngeld!C23</f>
        <v>Antragsteller</v>
      </c>
      <c r="N23" s="1002" t="str">
        <f>Wohngeld!D23</f>
        <v>Partner(in)</v>
      </c>
      <c r="O23" s="1002" t="str">
        <f>Wohngeld!E23</f>
        <v>Kind 1</v>
      </c>
      <c r="P23" s="1002" t="str">
        <f>Wohngeld!F23</f>
        <v>Kind 2</v>
      </c>
      <c r="Q23" s="1002" t="str">
        <f>Wohngeld!G23</f>
        <v>Kind 3</v>
      </c>
      <c r="R23" s="1002" t="str">
        <f>Wohngeld!H23</f>
        <v>Kind 4</v>
      </c>
      <c r="S23" s="1003" t="str">
        <f>Wohngeld!I23</f>
        <v>Kind 5</v>
      </c>
      <c r="T23" s="1737"/>
      <c r="U23" s="1806">
        <f>Kinderzuschlag!A185</f>
        <v>0</v>
      </c>
      <c r="V23" s="1774">
        <f>Kinderzuschlag!B185</f>
        <v>0</v>
      </c>
      <c r="W23" s="1774">
        <f>Kinderzuschlag!C185</f>
        <v>0</v>
      </c>
      <c r="X23" s="1774">
        <f>Kinderzuschlag!D185</f>
        <v>0</v>
      </c>
      <c r="Y23" s="1774">
        <f>Kinderzuschlag!E185</f>
        <v>0</v>
      </c>
      <c r="Z23" s="1774">
        <f>Kinderzuschlag!F185</f>
        <v>0</v>
      </c>
      <c r="AA23" s="1774">
        <f>Kinderzuschlag!G185</f>
        <v>0</v>
      </c>
      <c r="AB23" s="1774">
        <f>Kinderzuschlag!H185</f>
        <v>0</v>
      </c>
      <c r="AC23" s="1775">
        <f>Kinderzuschlag!I185</f>
        <v>0</v>
      </c>
      <c r="AD23" s="1737"/>
      <c r="AE23" s="879" t="str">
        <f>Zuschuss§26!A23</f>
        <v>Pflichtbeitrag zur gesetzlichen Krankenversicherung</v>
      </c>
      <c r="AF23" s="962">
        <f>Zuschuss§26!B23</f>
        <v>0</v>
      </c>
      <c r="AG23" s="26">
        <f>Zuschuss§26!C23</f>
        <v>0</v>
      </c>
      <c r="AH23" s="26">
        <f>Zuschuss§26!D23</f>
        <v>0</v>
      </c>
      <c r="AI23" s="26">
        <f>Zuschuss§26!E23</f>
        <v>0</v>
      </c>
      <c r="AJ23" s="26">
        <f>Zuschuss§26!F23</f>
        <v>0</v>
      </c>
      <c r="AK23" s="46">
        <f>Zuschuss§26!G23</f>
        <v>0</v>
      </c>
    </row>
    <row r="24" spans="1:37" ht="21" thickBot="1">
      <c r="A24" s="1316">
        <f>IF(B24&gt;0,Zusatzeingaben!A102,0)</f>
        <v>0</v>
      </c>
      <c r="B24" s="1380">
        <f>SUM(C24:I24)</f>
        <v>0</v>
      </c>
      <c r="C24" s="1376">
        <f>IF(Zusatzeingaben!$K$18&gt;0,C22,C23)</f>
        <v>0</v>
      </c>
      <c r="D24" s="1381">
        <f>IF(Zusatzeingaben!$K$18&gt;0,D22,D23)</f>
        <v>0</v>
      </c>
      <c r="E24" s="1381">
        <f>IF(Zusatzeingaben!$K$18&gt;0,E22,E23)</f>
        <v>0</v>
      </c>
      <c r="F24" s="1381">
        <f>IF(Zusatzeingaben!$K$18&gt;0,F22,F23)</f>
        <v>0</v>
      </c>
      <c r="G24" s="1381">
        <f>IF(Zusatzeingaben!$K$18&gt;0,G22,G23)</f>
        <v>0</v>
      </c>
      <c r="H24" s="1381">
        <f>IF(Zusatzeingaben!$K$18&gt;0,H22,H23)</f>
        <v>0</v>
      </c>
      <c r="I24" s="1382">
        <f>IF(Zusatzeingaben!$K$18&gt;0,I22,I23)</f>
        <v>0</v>
      </c>
      <c r="J24" s="1737"/>
      <c r="K24" s="408">
        <f>Wohngeld!A24</f>
        <v>0</v>
      </c>
      <c r="L24" s="1001">
        <f>Wohngeld!B24</f>
        <v>0</v>
      </c>
      <c r="M24" s="62">
        <f>Wohngeld!C24</f>
        <v>0</v>
      </c>
      <c r="N24" s="62">
        <f>Wohngeld!D24</f>
        <v>0</v>
      </c>
      <c r="O24" s="62">
        <f>Wohngeld!E24</f>
        <v>0</v>
      </c>
      <c r="P24" s="62">
        <f>Wohngeld!F24</f>
        <v>0</v>
      </c>
      <c r="Q24" s="62">
        <f>Wohngeld!G24</f>
        <v>0</v>
      </c>
      <c r="R24" s="62">
        <f>Wohngeld!H24</f>
        <v>0</v>
      </c>
      <c r="S24" s="110">
        <f>Wohngeld!I24</f>
        <v>0</v>
      </c>
      <c r="T24" s="1737"/>
      <c r="U24" s="1768" t="str">
        <f>Kinderzuschlag!A186</f>
        <v>Kinderzuschlag</v>
      </c>
      <c r="V24" s="1772">
        <f>Kinderzuschlag!B186</f>
        <v>0</v>
      </c>
      <c r="W24" s="1774">
        <f>Kinderzuschlag!C186</f>
        <v>0</v>
      </c>
      <c r="X24" s="1774">
        <f>Kinderzuschlag!D186</f>
        <v>0</v>
      </c>
      <c r="Y24" s="1774">
        <f>Kinderzuschlag!E186</f>
        <v>0</v>
      </c>
      <c r="Z24" s="1774">
        <f>Kinderzuschlag!F186</f>
        <v>0</v>
      </c>
      <c r="AA24" s="1774">
        <f>Kinderzuschlag!G186</f>
        <v>0</v>
      </c>
      <c r="AB24" s="1774">
        <f>Kinderzuschlag!H186</f>
        <v>0</v>
      </c>
      <c r="AC24" s="1775">
        <f>Kinderzuschlag!I186</f>
        <v>0</v>
      </c>
      <c r="AD24" s="1737"/>
      <c r="AE24" s="879" t="str">
        <f>Zuschuss§26!A24</f>
        <v>Beitragszuschuss zur KV (z.B. von der Rentenversicherung)</v>
      </c>
      <c r="AF24" s="966">
        <f>Zuschuss§26!B24</f>
        <v>0</v>
      </c>
      <c r="AG24" s="26">
        <f>Zuschuss§26!C24</f>
        <v>0</v>
      </c>
      <c r="AH24" s="26">
        <f>Zuschuss§26!D24</f>
        <v>0</v>
      </c>
      <c r="AI24" s="26">
        <f>Zuschuss§26!E24</f>
        <v>0</v>
      </c>
      <c r="AJ24" s="26">
        <f>Zuschuss§26!F24</f>
        <v>0</v>
      </c>
      <c r="AK24" s="46">
        <f>Zuschuss§26!G24</f>
        <v>0</v>
      </c>
    </row>
    <row r="25" spans="1:37" ht="17.25" hidden="1" customHeight="1">
      <c r="A25" s="1317" t="str">
        <f>Zusatzeingaben!A103</f>
        <v>weitere Kosten</v>
      </c>
      <c r="B25" s="1380">
        <f>Zusatzeingaben!C103</f>
        <v>0</v>
      </c>
      <c r="C25" s="1376">
        <f>B25/B7</f>
        <v>0</v>
      </c>
      <c r="D25" s="1381">
        <f>IF(D9="",0,B25/B7)</f>
        <v>0</v>
      </c>
      <c r="E25" s="1381">
        <f>IF(E9="",0,B25/B7)</f>
        <v>0</v>
      </c>
      <c r="F25" s="1381">
        <f>IF(F9="",0,B25/B7)</f>
        <v>0</v>
      </c>
      <c r="G25" s="1381">
        <f>IF(G9="",0,B25/B7)</f>
        <v>0</v>
      </c>
      <c r="H25" s="1381">
        <f>IF(H9="",0,B25/B7)</f>
        <v>0</v>
      </c>
      <c r="I25" s="1382">
        <f>IF(I9="",0,B25/B7)</f>
        <v>0</v>
      </c>
      <c r="J25" s="1737"/>
      <c r="K25" s="408">
        <f>Wohngeld!A25</f>
        <v>0</v>
      </c>
      <c r="L25" s="1001">
        <f>Wohngeld!B25</f>
        <v>0</v>
      </c>
      <c r="M25" s="62">
        <f>Wohngeld!C25</f>
        <v>0</v>
      </c>
      <c r="N25" s="62">
        <f>Wohngeld!D25</f>
        <v>0</v>
      </c>
      <c r="O25" s="62">
        <f>Wohngeld!E25</f>
        <v>0</v>
      </c>
      <c r="P25" s="62">
        <f>Wohngeld!F25</f>
        <v>0</v>
      </c>
      <c r="Q25" s="62">
        <f>Wohngeld!G25</f>
        <v>0</v>
      </c>
      <c r="R25" s="62">
        <f>Wohngeld!H25</f>
        <v>0</v>
      </c>
      <c r="S25" s="110">
        <f>Wohngeld!I25</f>
        <v>0</v>
      </c>
      <c r="T25" s="1737"/>
      <c r="U25" s="1768" t="str">
        <f>Kinderzuschlag!A187</f>
        <v>übersteigendes Einkommen der Eltern</v>
      </c>
      <c r="V25" s="1772">
        <f>Kinderzuschlag!B187</f>
        <v>0</v>
      </c>
      <c r="W25" s="1774">
        <f>Kinderzuschlag!C187</f>
        <v>0</v>
      </c>
      <c r="X25" s="1774">
        <f>Kinderzuschlag!D187</f>
        <v>0</v>
      </c>
      <c r="Y25" s="1774">
        <f>Kinderzuschlag!E187</f>
        <v>0</v>
      </c>
      <c r="Z25" s="1774">
        <f>Kinderzuschlag!F187</f>
        <v>0</v>
      </c>
      <c r="AA25" s="1774">
        <f>Kinderzuschlag!G187</f>
        <v>0</v>
      </c>
      <c r="AB25" s="1774">
        <f>Kinderzuschlag!H187</f>
        <v>0</v>
      </c>
      <c r="AC25" s="1775">
        <f>Kinderzuschlag!I187</f>
        <v>0</v>
      </c>
      <c r="AD25" s="1737"/>
      <c r="AE25" s="877" t="str">
        <f>Zuschuss§26!A25</f>
        <v>Beitrag zur Pflegeversicherung</v>
      </c>
      <c r="AF25" s="962">
        <f>Zuschuss§26!B25</f>
        <v>0</v>
      </c>
      <c r="AG25" s="26">
        <f>Zuschuss§26!C25</f>
        <v>0</v>
      </c>
      <c r="AH25" s="26">
        <f>Zuschuss§26!D25</f>
        <v>0</v>
      </c>
      <c r="AI25" s="26">
        <f>Zuschuss§26!E25</f>
        <v>0</v>
      </c>
      <c r="AJ25" s="26">
        <f>Zuschuss§26!F25</f>
        <v>0</v>
      </c>
      <c r="AK25" s="46">
        <f>Zuschuss§26!G25</f>
        <v>0</v>
      </c>
    </row>
    <row r="26" spans="1:37" ht="17.25" hidden="1" customHeight="1" thickBot="1">
      <c r="A26" s="1318"/>
      <c r="B26" s="1380">
        <f>Zusatzeingaben!C104</f>
        <v>0</v>
      </c>
      <c r="C26" s="1376">
        <f>B26/B7</f>
        <v>0</v>
      </c>
      <c r="D26" s="1381">
        <f>IF(D9=0,0,B26/B7)</f>
        <v>0</v>
      </c>
      <c r="E26" s="1381">
        <f>IF(Zusatzeingaben!E33=0,0,B26/B7)</f>
        <v>0</v>
      </c>
      <c r="F26" s="1381">
        <f>IF(Zusatzeingaben!F33=0,0,B26/B7)</f>
        <v>0</v>
      </c>
      <c r="G26" s="1381">
        <f>IF(Zusatzeingaben!G33=0,0,B26/B7)</f>
        <v>0</v>
      </c>
      <c r="H26" s="1381">
        <f>IF(Zusatzeingaben!H33=0,0,B26/B7)</f>
        <v>0</v>
      </c>
      <c r="I26" s="1382">
        <f>IF(Zusatzeingaben!I33=0,0,B26/B7)</f>
        <v>0</v>
      </c>
      <c r="J26" s="1737"/>
      <c r="K26" s="408">
        <f>Wohngeld!A26</f>
        <v>0</v>
      </c>
      <c r="L26" s="1001">
        <f>Wohngeld!B26</f>
        <v>0</v>
      </c>
      <c r="M26" s="62">
        <f>Wohngeld!C26</f>
        <v>0</v>
      </c>
      <c r="N26" s="62">
        <f>Wohngeld!D26</f>
        <v>0</v>
      </c>
      <c r="O26" s="62">
        <f>Wohngeld!E26</f>
        <v>0</v>
      </c>
      <c r="P26" s="62">
        <f>Wohngeld!F26</f>
        <v>0</v>
      </c>
      <c r="Q26" s="62">
        <f>Wohngeld!G26</f>
        <v>0</v>
      </c>
      <c r="R26" s="62">
        <f>Wohngeld!H26</f>
        <v>0</v>
      </c>
      <c r="S26" s="110">
        <f>Wohngeld!I26</f>
        <v>0</v>
      </c>
      <c r="T26" s="1737"/>
      <c r="U26" s="1806">
        <f>Kinderzuschlag!A188</f>
        <v>0</v>
      </c>
      <c r="V26" s="1772">
        <f>Kinderzuschlag!B188</f>
        <v>-416</v>
      </c>
      <c r="W26" s="1780">
        <f>Kinderzuschlag!C188</f>
        <v>-205</v>
      </c>
      <c r="X26" s="1780">
        <f>Kinderzuschlag!D188</f>
        <v>-205</v>
      </c>
      <c r="Y26" s="1780">
        <f>Kinderzuschlag!E188</f>
        <v>-205</v>
      </c>
      <c r="Z26" s="1774">
        <f>Kinderzuschlag!F188</f>
        <v>0</v>
      </c>
      <c r="AA26" s="1774">
        <f>Kinderzuschlag!G188</f>
        <v>0</v>
      </c>
      <c r="AB26" s="1774">
        <f>Kinderzuschlag!H188</f>
        <v>0</v>
      </c>
      <c r="AC26" s="1775">
        <f>Kinderzuschlag!I188</f>
        <v>0</v>
      </c>
      <c r="AD26" s="1737"/>
      <c r="AE26" s="880" t="str">
        <f>Zuschuss§26!A26</f>
        <v>Beitragszuschuss zur PV (z.B. von der Rentenversicherung)</v>
      </c>
      <c r="AF26" s="967">
        <f>Zuschuss§26!B26</f>
        <v>0</v>
      </c>
      <c r="AG26" s="39">
        <f>Zuschuss§26!C26</f>
        <v>0</v>
      </c>
      <c r="AH26" s="39">
        <f>Zuschuss§26!D26</f>
        <v>0</v>
      </c>
      <c r="AI26" s="39">
        <f>Zuschuss§26!E26</f>
        <v>0</v>
      </c>
      <c r="AJ26" s="39">
        <f>Zuschuss§26!F26</f>
        <v>0</v>
      </c>
      <c r="AK26" s="96">
        <f>Zuschuss§26!G26</f>
        <v>0</v>
      </c>
    </row>
    <row r="27" spans="1:37" ht="18" hidden="1" customHeight="1" thickBot="1">
      <c r="A27" s="1316"/>
      <c r="B27" s="1380">
        <f>SUM(C27:I27)</f>
        <v>0</v>
      </c>
      <c r="C27" s="1376">
        <f>C26</f>
        <v>0</v>
      </c>
      <c r="D27" s="1381">
        <f>D26</f>
        <v>0</v>
      </c>
      <c r="E27" s="1381">
        <f>IF(Zusatzeingaben!E8&gt;Zusatzeingaben!E2,E26*Zusatzeingaben!E14/30,IF(Zusatzeingaben!E18=25,E26*Zusatzeingaben!E10/30,E26))</f>
        <v>0</v>
      </c>
      <c r="F27" s="1381">
        <f>IF(Zusatzeingaben!F8&gt;Zusatzeingaben!E2,F26*Zusatzeingaben!F14/30,IF(Zusatzeingaben!F18=25,F26*Zusatzeingaben!F10/30,F26))</f>
        <v>0</v>
      </c>
      <c r="G27" s="1381">
        <f>IF(Zusatzeingaben!G8&gt;Zusatzeingaben!E2,G26*Zusatzeingaben!G14/30,IF(Zusatzeingaben!G18=25,G26*Zusatzeingaben!G10/30,G26))</f>
        <v>0</v>
      </c>
      <c r="H27" s="1381">
        <f>IF(Zusatzeingaben!H8&gt;Zusatzeingaben!E2,H26*Zusatzeingaben!H14/30,IF(Zusatzeingaben!H18=25,H26*Zusatzeingaben!H10/30,H26))</f>
        <v>0</v>
      </c>
      <c r="I27" s="1382">
        <f>IF(Zusatzeingaben!I8&gt;Zusatzeingaben!E2,I26*Zusatzeingaben!I14/30,IF(Zusatzeingaben!I18=25,I26*Zusatzeingaben!I10/30,I26))</f>
        <v>0</v>
      </c>
      <c r="J27" s="1737"/>
      <c r="K27" s="408">
        <f>Wohngeld!A27</f>
        <v>0</v>
      </c>
      <c r="L27" s="62">
        <f>Wohngeld!B27</f>
        <v>0</v>
      </c>
      <c r="M27" s="62">
        <f>Wohngeld!C27</f>
        <v>-200</v>
      </c>
      <c r="N27" s="62">
        <f>Wohngeld!D27</f>
        <v>-200</v>
      </c>
      <c r="O27" s="62">
        <f>Wohngeld!E27</f>
        <v>-200</v>
      </c>
      <c r="P27" s="62">
        <f>Wohngeld!F27</f>
        <v>-200</v>
      </c>
      <c r="Q27" s="62">
        <f>Wohngeld!G27</f>
        <v>-200</v>
      </c>
      <c r="R27" s="62">
        <f>Wohngeld!H27</f>
        <v>-200</v>
      </c>
      <c r="S27" s="110">
        <f>Wohngeld!I27</f>
        <v>-200</v>
      </c>
      <c r="T27" s="1737"/>
      <c r="U27" s="1768" t="str">
        <f>Kinderzuschlag!A189</f>
        <v>./. Einkommen, um das KiZ zu kürzen ist</v>
      </c>
      <c r="V27" s="1807">
        <f>Kinderzuschlag!B189</f>
        <v>0</v>
      </c>
      <c r="W27" s="1774">
        <f>Kinderzuschlag!C189</f>
        <v>0</v>
      </c>
      <c r="X27" s="1774">
        <f>Kinderzuschlag!D189</f>
        <v>0</v>
      </c>
      <c r="Y27" s="1774">
        <f>Kinderzuschlag!E189</f>
        <v>0</v>
      </c>
      <c r="Z27" s="1774">
        <f>Kinderzuschlag!F189</f>
        <v>0</v>
      </c>
      <c r="AA27" s="1774">
        <f>Kinderzuschlag!G189</f>
        <v>0</v>
      </c>
      <c r="AB27" s="1774">
        <f>Kinderzuschlag!H189</f>
        <v>0</v>
      </c>
      <c r="AC27" s="1775">
        <f>Kinderzuschlag!I189</f>
        <v>0</v>
      </c>
      <c r="AD27" s="1737"/>
      <c r="AE27" s="327">
        <f>Zuschuss§26!A27</f>
        <v>0</v>
      </c>
      <c r="AF27" s="928">
        <f>Zuschuss§26!B27</f>
        <v>0</v>
      </c>
      <c r="AG27" s="927">
        <f>Zuschuss§26!C27</f>
        <v>0</v>
      </c>
      <c r="AH27" s="927">
        <f>Zuschuss§26!D27</f>
        <v>0</v>
      </c>
      <c r="AI27" s="927">
        <f>Zuschuss§26!E27</f>
        <v>0</v>
      </c>
      <c r="AJ27" s="927">
        <f>Zuschuss§26!F27</f>
        <v>0</v>
      </c>
      <c r="AK27" s="927">
        <f>Zuschuss§26!G27</f>
        <v>0</v>
      </c>
    </row>
    <row r="28" spans="1:37" ht="18" hidden="1" customHeight="1" thickTop="1" thickBot="1">
      <c r="A28" s="1318"/>
      <c r="B28" s="1380">
        <f>SUM(C28:I28)</f>
        <v>0</v>
      </c>
      <c r="C28" s="1376">
        <f>IF(AND(B27&lt;B26,C27=C26,C27&gt;0),C26+(B26-B27)/K27,C27)</f>
        <v>0</v>
      </c>
      <c r="D28" s="1381">
        <f>IF(AND(B27&lt;B26,D27=D26,D27&gt;0),D26+(B26-B27)/K27,D27)</f>
        <v>0</v>
      </c>
      <c r="E28" s="1381">
        <f>IF(AND(B27&lt;B26,E27=E26,E27&gt;0),E26+(B26-B27)/K27,E27)</f>
        <v>0</v>
      </c>
      <c r="F28" s="1381">
        <f>IF(AND(B27&lt;B26,F27=F26,F27&gt;0),F26+(B26-B27)/K27,F27)</f>
        <v>0</v>
      </c>
      <c r="G28" s="1381">
        <f>IF(AND(B27&lt;B26,G27=G26,G27&gt;0),G26+(B26-B27)/K27,G27)</f>
        <v>0</v>
      </c>
      <c r="H28" s="1381">
        <f>IF(AND(B27&lt;B26,H27=H26,H27&gt;0),H26+(B26-B27)/K27,H27)</f>
        <v>0</v>
      </c>
      <c r="I28" s="1382">
        <f>IF(AND(B27&lt;B26,I27=I26,I27&gt;0),I26+(B26-B27)/K27,I27)</f>
        <v>0</v>
      </c>
      <c r="J28" s="1737"/>
      <c r="K28" s="408">
        <f>Wohngeld!A28</f>
        <v>0</v>
      </c>
      <c r="L28" s="1001">
        <f>Wohngeld!B28</f>
        <v>0</v>
      </c>
      <c r="M28" s="62">
        <f>Wohngeld!C28</f>
        <v>0</v>
      </c>
      <c r="N28" s="62">
        <f>Wohngeld!D28</f>
        <v>0</v>
      </c>
      <c r="O28" s="62">
        <f>Wohngeld!E28</f>
        <v>0</v>
      </c>
      <c r="P28" s="62">
        <f>Wohngeld!F28</f>
        <v>0</v>
      </c>
      <c r="Q28" s="62">
        <f>Wohngeld!G28</f>
        <v>0</v>
      </c>
      <c r="R28" s="62">
        <f>Wohngeld!H28</f>
        <v>0</v>
      </c>
      <c r="S28" s="110">
        <f>Wohngeld!I28</f>
        <v>0</v>
      </c>
      <c r="T28" s="1737"/>
      <c r="U28" s="1808" t="str">
        <f>Kinderzuschlag!A190</f>
        <v>möglicher Kinderzuschlag</v>
      </c>
      <c r="V28" s="1809">
        <f>Kinderzuschlag!B190</f>
        <v>0</v>
      </c>
      <c r="W28" s="1774">
        <f>Kinderzuschlag!C190</f>
        <v>0</v>
      </c>
      <c r="X28" s="1774">
        <f>Kinderzuschlag!D190</f>
        <v>0</v>
      </c>
      <c r="Y28" s="1774">
        <f>Kinderzuschlag!E190</f>
        <v>0</v>
      </c>
      <c r="Z28" s="1774">
        <f>Kinderzuschlag!F190</f>
        <v>0</v>
      </c>
      <c r="AA28" s="1774">
        <f>Kinderzuschlag!G190</f>
        <v>0</v>
      </c>
      <c r="AB28" s="1774">
        <f>Kinderzuschlag!H190</f>
        <v>0</v>
      </c>
      <c r="AC28" s="1775">
        <f>Kinderzuschlag!I190</f>
        <v>0</v>
      </c>
      <c r="AD28" s="1737"/>
      <c r="AE28" s="267">
        <f>Zuschuss§26!A28</f>
        <v>0</v>
      </c>
      <c r="AF28" s="267">
        <f>Zuschuss§26!B28</f>
        <v>0</v>
      </c>
      <c r="AG28" s="267">
        <f>Zuschuss§26!C28</f>
        <v>0</v>
      </c>
      <c r="AH28" s="267">
        <f>Zuschuss§26!D28</f>
        <v>0</v>
      </c>
      <c r="AI28" s="267">
        <f>Zuschuss§26!E28</f>
        <v>0</v>
      </c>
      <c r="AJ28" s="267">
        <f>Zuschuss§26!F28</f>
        <v>0</v>
      </c>
      <c r="AK28" s="267">
        <f>Zuschuss§26!G28</f>
        <v>0</v>
      </c>
    </row>
    <row r="29" spans="1:37" ht="25.5">
      <c r="A29" s="1316">
        <f>IF(B29&gt;0,Zusatzeingaben!A104,0)</f>
        <v>0</v>
      </c>
      <c r="B29" s="1380">
        <f>SUM(C29:I29)</f>
        <v>0</v>
      </c>
      <c r="C29" s="1376">
        <f>IF(Zusatzeingaben!$K$18&gt;0,C27,C28)</f>
        <v>0</v>
      </c>
      <c r="D29" s="1381">
        <f>IF(Zusatzeingaben!$K$18&gt;0,D27,D28)</f>
        <v>0</v>
      </c>
      <c r="E29" s="1381">
        <f>IF(Zusatzeingaben!$K$18&gt;0,E27,E28)</f>
        <v>0</v>
      </c>
      <c r="F29" s="1381">
        <f>IF(Zusatzeingaben!$K$18&gt;0,F27,F28)</f>
        <v>0</v>
      </c>
      <c r="G29" s="1381">
        <f>IF(Zusatzeingaben!$K$18&gt;0,G27,G28)</f>
        <v>0</v>
      </c>
      <c r="H29" s="1381">
        <f>IF(Zusatzeingaben!$K$18&gt;0,H27,H28)</f>
        <v>0</v>
      </c>
      <c r="I29" s="1382">
        <f>IF(Zusatzeingaben!$K$18&gt;0,I27,I28)</f>
        <v>0</v>
      </c>
      <c r="J29" s="1737"/>
      <c r="K29" s="408">
        <f>Wohngeld!A29</f>
        <v>0</v>
      </c>
      <c r="L29" s="1001">
        <f>Wohngeld!B29</f>
        <v>0</v>
      </c>
      <c r="M29" s="62">
        <f>Wohngeld!C29</f>
        <v>0</v>
      </c>
      <c r="N29" s="62">
        <f>Wohngeld!D29</f>
        <v>0</v>
      </c>
      <c r="O29" s="62">
        <f>Wohngeld!E29</f>
        <v>0</v>
      </c>
      <c r="P29" s="62">
        <f>Wohngeld!F29</f>
        <v>0</v>
      </c>
      <c r="Q29" s="62">
        <f>Wohngeld!G29</f>
        <v>0</v>
      </c>
      <c r="R29" s="62">
        <f>Wohngeld!H29</f>
        <v>0</v>
      </c>
      <c r="S29" s="110">
        <f>Wohngeld!I29</f>
        <v>0</v>
      </c>
      <c r="T29" s="1737"/>
      <c r="U29" s="1808" t="str">
        <f>Kinderzuschlag!A191</f>
        <v>Anspruch nach SGB II</v>
      </c>
      <c r="V29" s="1810">
        <f>Kinderzuschlag!B191</f>
        <v>416</v>
      </c>
      <c r="W29" s="1774">
        <f>Kinderzuschlag!C191</f>
        <v>0</v>
      </c>
      <c r="X29" s="1774">
        <f>Kinderzuschlag!D191</f>
        <v>0</v>
      </c>
      <c r="Y29" s="1774">
        <f>Kinderzuschlag!E191</f>
        <v>0</v>
      </c>
      <c r="Z29" s="1774">
        <f>Kinderzuschlag!F191</f>
        <v>0</v>
      </c>
      <c r="AA29" s="1774">
        <f>Kinderzuschlag!G191</f>
        <v>0</v>
      </c>
      <c r="AB29" s="1774">
        <f>Kinderzuschlag!H191</f>
        <v>0</v>
      </c>
      <c r="AC29" s="1775">
        <f>Kinderzuschlag!I191</f>
        <v>0</v>
      </c>
      <c r="AD29" s="1737"/>
      <c r="AE29" s="2124" t="str">
        <f>Zuschuss§26!A29</f>
        <v xml:space="preserve">   Berechnung Zuschuss zu Versicherungsbeiträgen nach § 26 SGB II</v>
      </c>
      <c r="AF29" s="2125"/>
      <c r="AG29" s="2125"/>
      <c r="AH29" s="2125"/>
      <c r="AI29" s="2125"/>
      <c r="AJ29" s="2125"/>
      <c r="AK29" s="2126"/>
    </row>
    <row r="30" spans="1:37" ht="17.25" hidden="1" customHeight="1">
      <c r="A30" s="1318"/>
      <c r="B30" s="1380">
        <f>Zusatzeingaben!C105</f>
        <v>0</v>
      </c>
      <c r="C30" s="1376">
        <f>B30/B7</f>
        <v>0</v>
      </c>
      <c r="D30" s="1381">
        <f>IF(D9=0,0,B30/B7)</f>
        <v>0</v>
      </c>
      <c r="E30" s="1381">
        <f>IF(Zusatzeingaben!E33=0,0,B30/B7)</f>
        <v>0</v>
      </c>
      <c r="F30" s="1381">
        <f>IF(Zusatzeingaben!F33=0,0,B30/B7)</f>
        <v>0</v>
      </c>
      <c r="G30" s="1381">
        <f>IF(Zusatzeingaben!G33=0,0,B30/B7)</f>
        <v>0</v>
      </c>
      <c r="H30" s="1381">
        <f>IF(Zusatzeingaben!H33=0,0,B30/B7)</f>
        <v>0</v>
      </c>
      <c r="I30" s="1382">
        <f>IF(Zusatzeingaben!I33=0,0,B30/B7)</f>
        <v>0</v>
      </c>
      <c r="J30" s="1737"/>
      <c r="K30" s="408">
        <f>Wohngeld!A30</f>
        <v>0</v>
      </c>
      <c r="L30" s="62">
        <f>Wohngeld!B30</f>
        <v>0</v>
      </c>
      <c r="M30" s="62">
        <f>Wohngeld!C30</f>
        <v>-300</v>
      </c>
      <c r="N30" s="62">
        <f>Wohngeld!D30</f>
        <v>-300</v>
      </c>
      <c r="O30" s="62">
        <f>Wohngeld!E30</f>
        <v>0</v>
      </c>
      <c r="P30" s="62">
        <f>Wohngeld!F30</f>
        <v>0</v>
      </c>
      <c r="Q30" s="62">
        <f>Wohngeld!G30</f>
        <v>0</v>
      </c>
      <c r="R30" s="62">
        <f>Wohngeld!H30</f>
        <v>0</v>
      </c>
      <c r="S30" s="110">
        <f>Wohngeld!I30</f>
        <v>0</v>
      </c>
      <c r="T30" s="1737"/>
      <c r="U30" s="1808" t="str">
        <f>Kinderzuschlag!A192</f>
        <v>möglicher Wohngeldanspruch</v>
      </c>
      <c r="V30" s="1810">
        <f>Kinderzuschlag!B192</f>
        <v>0</v>
      </c>
      <c r="W30" s="1774">
        <f>Kinderzuschlag!C192</f>
        <v>0</v>
      </c>
      <c r="X30" s="1774">
        <f>Kinderzuschlag!D192</f>
        <v>0</v>
      </c>
      <c r="Y30" s="1774">
        <f>Kinderzuschlag!E192</f>
        <v>0</v>
      </c>
      <c r="Z30" s="1774">
        <f>Kinderzuschlag!F192</f>
        <v>0</v>
      </c>
      <c r="AA30" s="1774">
        <f>Kinderzuschlag!G192</f>
        <v>0</v>
      </c>
      <c r="AB30" s="1774">
        <f>Kinderzuschlag!H192</f>
        <v>0</v>
      </c>
      <c r="AC30" s="1775">
        <f>Kinderzuschlag!I192</f>
        <v>0</v>
      </c>
      <c r="AD30" s="1737"/>
      <c r="AE30" s="899">
        <f>Zuschuss§26!A30</f>
        <v>0</v>
      </c>
      <c r="AF30" s="925">
        <f>Zuschuss§26!B30</f>
        <v>0</v>
      </c>
      <c r="AG30" s="874" t="str">
        <f>Zuschuss§26!C30</f>
        <v>Antragsteller</v>
      </c>
      <c r="AH30" s="874" t="str">
        <f>Zuschuss§26!D30</f>
        <v>Partner(in)</v>
      </c>
      <c r="AI30" s="874" t="str">
        <f>Zuschuss§26!E30</f>
        <v>Kind 1</v>
      </c>
      <c r="AJ30" s="874" t="str">
        <f>Zuschuss§26!F30</f>
        <v>Kind 2</v>
      </c>
      <c r="AK30" s="892" t="str">
        <f>Zuschuss§26!G30</f>
        <v>Kind 3</v>
      </c>
    </row>
    <row r="31" spans="1:37" ht="20.25" hidden="1" customHeight="1" thickBot="1">
      <c r="A31" s="1316"/>
      <c r="B31" s="1380">
        <f>SUM(C31:I31)</f>
        <v>0</v>
      </c>
      <c r="C31" s="1376">
        <f>C30</f>
        <v>0</v>
      </c>
      <c r="D31" s="1381">
        <f>D30</f>
        <v>0</v>
      </c>
      <c r="E31" s="1381">
        <f>IF(Zusatzeingaben!E8&gt;Zusatzeingaben!E2,E30*Zusatzeingaben!E14/30,IF(Zusatzeingaben!E18=25,E30*Zusatzeingaben!E10/30,E30))</f>
        <v>0</v>
      </c>
      <c r="F31" s="1381">
        <f>IF(Zusatzeingaben!F8&gt;Zusatzeingaben!E2,F30*Zusatzeingaben!F14/30,IF(Zusatzeingaben!F18=25,F30*Zusatzeingaben!F10/30,F30))</f>
        <v>0</v>
      </c>
      <c r="G31" s="1381">
        <f>IF(Zusatzeingaben!G8&gt;Zusatzeingaben!E2,G30*Zusatzeingaben!G14/30,IF(Zusatzeingaben!G18=25,G30*Zusatzeingaben!G10/30,G30))</f>
        <v>0</v>
      </c>
      <c r="H31" s="1381">
        <f>IF(Zusatzeingaben!H8&gt;Zusatzeingaben!E2,H30*Zusatzeingaben!H14/30,IF(Zusatzeingaben!H18=25,H30*Zusatzeingaben!H10/30,H30))</f>
        <v>0</v>
      </c>
      <c r="I31" s="1382">
        <f>IF(Zusatzeingaben!I8&gt;Zusatzeingaben!E2,I30*Zusatzeingaben!I14/30,IF(Zusatzeingaben!I18=25,I30*Zusatzeingaben!I10/30,I30))</f>
        <v>0</v>
      </c>
      <c r="J31" s="1737"/>
      <c r="K31" s="408">
        <f>Wohngeld!A31</f>
        <v>0</v>
      </c>
      <c r="L31" s="1001">
        <f>Wohngeld!B31</f>
        <v>0</v>
      </c>
      <c r="M31" s="62">
        <f>Wohngeld!C31</f>
        <v>0</v>
      </c>
      <c r="N31" s="62">
        <f>Wohngeld!D31</f>
        <v>0</v>
      </c>
      <c r="O31" s="62">
        <f>Wohngeld!E31</f>
        <v>0</v>
      </c>
      <c r="P31" s="62">
        <f>Wohngeld!F31</f>
        <v>0</v>
      </c>
      <c r="Q31" s="62">
        <f>Wohngeld!G31</f>
        <v>0</v>
      </c>
      <c r="R31" s="62">
        <f>Wohngeld!H31</f>
        <v>0</v>
      </c>
      <c r="S31" s="110">
        <f>Wohngeld!I31</f>
        <v>0</v>
      </c>
      <c r="T31" s="1737"/>
      <c r="U31" s="1811" t="str">
        <f>Kinderzuschlag!A193</f>
        <v xml:space="preserve">Anspruch auf Kinderzuschlag </v>
      </c>
      <c r="V31" s="1812" t="str">
        <f>Kinderzuschlag!B193</f>
        <v>0,00 €</v>
      </c>
      <c r="W31" s="1813">
        <f>Kinderzuschlag!C193</f>
        <v>0</v>
      </c>
      <c r="X31" s="2133" t="str">
        <f>Kinderzuschlag!D193</f>
        <v>kein KiZ - Einkommen der Eltern unterschreitet die Mindesteinkommensgrenze</v>
      </c>
      <c r="Y31" s="2134"/>
      <c r="Z31" s="2134"/>
      <c r="AA31" s="2134"/>
      <c r="AB31" s="2134"/>
      <c r="AC31" s="2135"/>
      <c r="AD31" s="1737"/>
      <c r="AE31" s="918" t="str">
        <f>Zuschuss§26!A31</f>
        <v>Private Krankenversicherung</v>
      </c>
      <c r="AF31" s="930">
        <f>Zuschuss§26!B31</f>
        <v>0</v>
      </c>
      <c r="AG31" s="776">
        <f>Zuschuss§26!C31</f>
        <v>0</v>
      </c>
      <c r="AH31" s="919">
        <f>Zuschuss§26!D31</f>
        <v>0</v>
      </c>
      <c r="AI31" s="919">
        <f>Zuschuss§26!E31</f>
        <v>0</v>
      </c>
      <c r="AJ31" s="919">
        <f>Zuschuss§26!F31</f>
        <v>0</v>
      </c>
      <c r="AK31" s="893">
        <f>Zuschuss§26!G31</f>
        <v>0</v>
      </c>
    </row>
    <row r="32" spans="1:37" ht="17.25" hidden="1">
      <c r="A32" s="1318"/>
      <c r="B32" s="1380">
        <f>SUM(C32:I32)</f>
        <v>0</v>
      </c>
      <c r="C32" s="1376">
        <f>IF(AND(B31&lt;B30,C31=C30,C31&gt;0),C30+(B30-B31)/K31,C31)</f>
        <v>0</v>
      </c>
      <c r="D32" s="1381">
        <f>IF(AND(B31&lt;B30,D31=D30,D31&gt;0),D30+(B30-B31)/K31,D31)</f>
        <v>0</v>
      </c>
      <c r="E32" s="1381">
        <f>IF(AND(B31&lt;B30,E31=E30,E31&gt;0),E30+(B30-B31)/K31,E31)</f>
        <v>0</v>
      </c>
      <c r="F32" s="1381">
        <f>IF(AND(B31&lt;B30,F31=F30,F31&gt;0),F30+(B30-B31)/K31,F31)</f>
        <v>0</v>
      </c>
      <c r="G32" s="1381">
        <f>IF(AND(B31&lt;B30,G31=G30,G31&gt;0),G30+(B30-B31)/K31,G31)</f>
        <v>0</v>
      </c>
      <c r="H32" s="1381">
        <f>IF(AND(B31&lt;B30,H31=H30,H31&gt;0),H30+(B30-B31)/K31,H31)</f>
        <v>0</v>
      </c>
      <c r="I32" s="1382">
        <f>IF(AND(B31&lt;B30,I31=I30,I31&gt;0),I30+(B30-B31)/K31,I31)</f>
        <v>0</v>
      </c>
      <c r="J32" s="1737"/>
      <c r="K32" s="408">
        <f>Wohngeld!A32</f>
        <v>0</v>
      </c>
      <c r="L32" s="1001">
        <f>Wohngeld!B32</f>
        <v>0</v>
      </c>
      <c r="M32" s="62">
        <f>Wohngeld!C32</f>
        <v>0</v>
      </c>
      <c r="N32" s="62">
        <f>Wohngeld!D32</f>
        <v>0</v>
      </c>
      <c r="O32" s="62">
        <f>Wohngeld!E32</f>
        <v>0</v>
      </c>
      <c r="P32" s="62">
        <f>Wohngeld!F32</f>
        <v>0</v>
      </c>
      <c r="Q32" s="62">
        <f>Wohngeld!G32</f>
        <v>0</v>
      </c>
      <c r="R32" s="62">
        <f>Wohngeld!H32</f>
        <v>0</v>
      </c>
      <c r="S32" s="110">
        <f>Wohngeld!I32</f>
        <v>0</v>
      </c>
      <c r="T32" s="1737"/>
      <c r="U32" s="205">
        <f>Kinderzuschlag!A194</f>
        <v>0</v>
      </c>
      <c r="V32" s="205">
        <f>Kinderzuschlag!B194</f>
        <v>0</v>
      </c>
      <c r="W32" s="205">
        <f>Kinderzuschlag!C194</f>
        <v>0</v>
      </c>
      <c r="X32" s="205">
        <f>Kinderzuschlag!D194</f>
        <v>0</v>
      </c>
      <c r="Y32" s="205">
        <f>Kinderzuschlag!E194</f>
        <v>0</v>
      </c>
      <c r="Z32" s="205">
        <f>Kinderzuschlag!F194</f>
        <v>0</v>
      </c>
      <c r="AA32" s="205">
        <f>Kinderzuschlag!G194</f>
        <v>0</v>
      </c>
      <c r="AB32" s="205">
        <f>Kinderzuschlag!H194</f>
        <v>0</v>
      </c>
      <c r="AC32" s="205">
        <f>Kinderzuschlag!I194</f>
        <v>0</v>
      </c>
      <c r="AD32" s="1737"/>
      <c r="AE32" s="924">
        <f>Zuschuss§26!A32</f>
        <v>0</v>
      </c>
      <c r="AF32" s="931">
        <f>Zuschuss§26!B32</f>
        <v>0</v>
      </c>
      <c r="AG32" s="916">
        <f>Zuschuss§26!C32</f>
        <v>0</v>
      </c>
      <c r="AH32" s="916">
        <f>Zuschuss§26!D32</f>
        <v>0</v>
      </c>
      <c r="AI32" s="916">
        <f>Zuschuss§26!E32</f>
        <v>0</v>
      </c>
      <c r="AJ32" s="916">
        <f>Zuschuss§26!F32</f>
        <v>0</v>
      </c>
      <c r="AK32" s="926">
        <f>Zuschuss§26!G32</f>
        <v>0</v>
      </c>
    </row>
    <row r="33" spans="1:37" ht="17.25">
      <c r="A33" s="1316">
        <f>IF(B33&gt;0,Zusatzeingaben!A105,0)</f>
        <v>0</v>
      </c>
      <c r="B33" s="1380">
        <f>SUM(C33:I33)</f>
        <v>0</v>
      </c>
      <c r="C33" s="1376">
        <f>IF(Zusatzeingaben!$K$18&gt;0,C31,C32)</f>
        <v>0</v>
      </c>
      <c r="D33" s="1381">
        <f>IF(Zusatzeingaben!$K$18&gt;0,D31,D32)</f>
        <v>0</v>
      </c>
      <c r="E33" s="1381">
        <f>IF(Zusatzeingaben!$K$18&gt;0,E31,E32)</f>
        <v>0</v>
      </c>
      <c r="F33" s="1381">
        <f>IF(Zusatzeingaben!$K$18&gt;0,F31,F32)</f>
        <v>0</v>
      </c>
      <c r="G33" s="1381">
        <f>IF(Zusatzeingaben!$K$18&gt;0,G31,G32)</f>
        <v>0</v>
      </c>
      <c r="H33" s="1381">
        <f>IF(Zusatzeingaben!$K$18&gt;0,H31,H32)</f>
        <v>0</v>
      </c>
      <c r="I33" s="1382">
        <f>IF(Zusatzeingaben!$K$18&gt;0,I31,I32)</f>
        <v>0</v>
      </c>
      <c r="J33" s="1737"/>
      <c r="K33" s="408">
        <f>Wohngeld!A33</f>
        <v>0</v>
      </c>
      <c r="L33" s="1001">
        <f>Wohngeld!B33</f>
        <v>0</v>
      </c>
      <c r="M33" s="62">
        <f>Wohngeld!C33</f>
        <v>0</v>
      </c>
      <c r="N33" s="62">
        <f>Wohngeld!D33</f>
        <v>0</v>
      </c>
      <c r="O33" s="62">
        <f>Wohngeld!E33</f>
        <v>0</v>
      </c>
      <c r="P33" s="62">
        <f>Wohngeld!F33</f>
        <v>0</v>
      </c>
      <c r="Q33" s="62">
        <f>Wohngeld!G33</f>
        <v>0</v>
      </c>
      <c r="R33" s="62">
        <f>Wohngeld!H33</f>
        <v>0</v>
      </c>
      <c r="S33" s="110">
        <f>Wohngeld!I33</f>
        <v>0</v>
      </c>
      <c r="T33" s="1737"/>
      <c r="U33" s="1143">
        <f>Kinderzuschlag!A195</f>
        <v>0</v>
      </c>
      <c r="V33" s="1144">
        <f>Kinderzuschlag!B195</f>
        <v>0</v>
      </c>
      <c r="W33" s="315">
        <f>Kinderzuschlag!C195</f>
        <v>0</v>
      </c>
      <c r="X33" s="315">
        <f>Kinderzuschlag!D195</f>
        <v>0</v>
      </c>
      <c r="Y33" s="315">
        <f>Kinderzuschlag!E195</f>
        <v>0</v>
      </c>
      <c r="Z33" s="315">
        <f>Kinderzuschlag!F195</f>
        <v>0</v>
      </c>
      <c r="AA33" s="315">
        <f>Kinderzuschlag!G195</f>
        <v>0</v>
      </c>
      <c r="AB33" s="315">
        <f>Kinderzuschlag!H195</f>
        <v>0</v>
      </c>
      <c r="AC33" s="1132">
        <f>Kinderzuschlag!I195</f>
        <v>0</v>
      </c>
      <c r="AD33" s="1737"/>
      <c r="AE33" s="920" t="str">
        <f>Zuschuss§26!A33</f>
        <v>halbierter Beitrag im Basistarif</v>
      </c>
      <c r="AF33" s="932">
        <f>Zuschuss§26!B33</f>
        <v>0</v>
      </c>
      <c r="AG33" s="469">
        <f>Zuschuss§26!C33</f>
        <v>0</v>
      </c>
      <c r="AH33" s="469">
        <f>Zuschuss§26!D33</f>
        <v>0</v>
      </c>
      <c r="AI33" s="469">
        <f>Zuschuss§26!E33</f>
        <v>0</v>
      </c>
      <c r="AJ33" s="469">
        <f>Zuschuss§26!F33</f>
        <v>0</v>
      </c>
      <c r="AK33" s="470">
        <f>Zuschuss§26!G33</f>
        <v>0</v>
      </c>
    </row>
    <row r="34" spans="1:37" ht="20.25" thickBot="1">
      <c r="A34" s="1318"/>
      <c r="B34" s="1380">
        <f>Zusatzeingaben!C106</f>
        <v>0</v>
      </c>
      <c r="C34" s="1376">
        <f>B34/B7</f>
        <v>0</v>
      </c>
      <c r="D34" s="1381">
        <f>IF(D9=0,0,B34/B7)</f>
        <v>0</v>
      </c>
      <c r="E34" s="1381">
        <f>IF(Zusatzeingaben!E33=0,0,B34/B7)</f>
        <v>0</v>
      </c>
      <c r="F34" s="1381">
        <f>IF(Zusatzeingaben!F33=0,0,B34/B7)</f>
        <v>0</v>
      </c>
      <c r="G34" s="1381">
        <f>IF(Zusatzeingaben!G33=0,0,B34/B7)</f>
        <v>0</v>
      </c>
      <c r="H34" s="1381">
        <f>IF(Zusatzeingaben!H33=0,0,B34/B7)</f>
        <v>0</v>
      </c>
      <c r="I34" s="1382">
        <f>IF(Zusatzeingaben!I33=0,0,B34/B7)</f>
        <v>0</v>
      </c>
      <c r="J34" s="1737"/>
      <c r="K34" s="408">
        <f>Wohngeld!A34</f>
        <v>0</v>
      </c>
      <c r="L34" s="1001">
        <f>Wohngeld!B34</f>
        <v>0</v>
      </c>
      <c r="M34" s="62">
        <f>Wohngeld!C34</f>
        <v>0</v>
      </c>
      <c r="N34" s="62">
        <f>Wohngeld!D34</f>
        <v>0</v>
      </c>
      <c r="O34" s="62">
        <f>Wohngeld!E34</f>
        <v>0</v>
      </c>
      <c r="P34" s="62">
        <f>Wohngeld!F34</f>
        <v>0</v>
      </c>
      <c r="Q34" s="62">
        <f>Wohngeld!G34</f>
        <v>0</v>
      </c>
      <c r="R34" s="62">
        <f>Wohngeld!H34</f>
        <v>0</v>
      </c>
      <c r="S34" s="110">
        <f>Wohngeld!I34</f>
        <v>0</v>
      </c>
      <c r="T34" s="1737"/>
      <c r="U34" s="1139" t="str">
        <f>Kinderzuschlag!A196</f>
        <v>Kinderzuschlag</v>
      </c>
      <c r="V34" s="1142">
        <f>Kinderzuschlag!B196</f>
        <v>42552</v>
      </c>
      <c r="W34" s="1141">
        <f>Kinderzuschlag!C196</f>
        <v>160</v>
      </c>
      <c r="X34" s="2136">
        <f>Kinderzuschlag!D196</f>
        <v>0</v>
      </c>
      <c r="Y34" s="2137"/>
      <c r="Z34" s="2137"/>
      <c r="AA34" s="2137"/>
      <c r="AB34" s="2137"/>
      <c r="AC34" s="2138"/>
      <c r="AD34" s="1737"/>
      <c r="AE34" s="757" t="str">
        <f>Zuschuss§26!A34</f>
        <v>Beitrag in einem anderen Tarif</v>
      </c>
      <c r="AF34" s="933">
        <f>Zuschuss§26!B34</f>
        <v>0</v>
      </c>
      <c r="AG34" s="469">
        <f>Zuschuss§26!C34</f>
        <v>0</v>
      </c>
      <c r="AH34" s="469">
        <f>Zuschuss§26!D34</f>
        <v>0</v>
      </c>
      <c r="AI34" s="469">
        <f>Zuschuss§26!E34</f>
        <v>0</v>
      </c>
      <c r="AJ34" s="469">
        <f>Zuschuss§26!F34</f>
        <v>0</v>
      </c>
      <c r="AK34" s="470">
        <f>Zuschuss§26!G34</f>
        <v>0</v>
      </c>
    </row>
    <row r="35" spans="1:37" ht="17.25">
      <c r="A35" s="1316"/>
      <c r="B35" s="1380">
        <f t="shared" ref="B35:B42" si="1">SUM(C35:I35)</f>
        <v>0</v>
      </c>
      <c r="C35" s="1376">
        <f>C34</f>
        <v>0</v>
      </c>
      <c r="D35" s="1381">
        <f>D34</f>
        <v>0</v>
      </c>
      <c r="E35" s="1381">
        <f>IF(Zusatzeingaben!E8&gt;Zusatzeingaben!E2,E34*Zusatzeingaben!E14/30,IF(Zusatzeingaben!E18=25,E34*Zusatzeingaben!E10/30,E34))</f>
        <v>0</v>
      </c>
      <c r="F35" s="1381">
        <f>IF(Zusatzeingaben!F8&gt;Zusatzeingaben!E2,F34*Zusatzeingaben!F14/30,IF(Zusatzeingaben!F18=25,F34*Zusatzeingaben!F10/30,F34))</f>
        <v>0</v>
      </c>
      <c r="G35" s="1381">
        <f>IF(Zusatzeingaben!G8&gt;Zusatzeingaben!E2,G34*Zusatzeingaben!G14/30,IF(Zusatzeingaben!G18=25,G34*Zusatzeingaben!G10/30,G34))</f>
        <v>0</v>
      </c>
      <c r="H35" s="1381">
        <f>IF(Zusatzeingaben!H8&gt;Zusatzeingaben!E2,H34*Zusatzeingaben!H14/30,IF(Zusatzeingaben!H18=25,H34*Zusatzeingaben!H10/30,H34))</f>
        <v>0</v>
      </c>
      <c r="I35" s="1382">
        <f>IF(Zusatzeingaben!I8&gt;Zusatzeingaben!E2,I34*Zusatzeingaben!I14/30,IF(Zusatzeingaben!I18=25,I34*Zusatzeingaben!I10/30,I34))</f>
        <v>0</v>
      </c>
      <c r="J35" s="1737"/>
      <c r="K35" s="408">
        <f>Wohngeld!A35</f>
        <v>0</v>
      </c>
      <c r="L35" s="1001">
        <f>Wohngeld!B35</f>
        <v>0</v>
      </c>
      <c r="M35" s="62">
        <f>Wohngeld!C35</f>
        <v>0</v>
      </c>
      <c r="N35" s="62">
        <f>Wohngeld!D35</f>
        <v>0</v>
      </c>
      <c r="O35" s="62">
        <f>Wohngeld!E35</f>
        <v>0</v>
      </c>
      <c r="P35" s="62">
        <f>Wohngeld!F35</f>
        <v>0</v>
      </c>
      <c r="Q35" s="62">
        <f>Wohngeld!G35</f>
        <v>0</v>
      </c>
      <c r="R35" s="62">
        <f>Wohngeld!H35</f>
        <v>0</v>
      </c>
      <c r="S35" s="110">
        <f>Wohngeld!I35</f>
        <v>0</v>
      </c>
      <c r="T35" s="1737"/>
      <c r="U35" s="205">
        <f>Kinderzuschlag!A197</f>
        <v>0</v>
      </c>
      <c r="V35" s="205">
        <f>Kinderzuschlag!B197</f>
        <v>42736</v>
      </c>
      <c r="W35" s="205">
        <f>Kinderzuschlag!C197</f>
        <v>170</v>
      </c>
      <c r="X35" s="205">
        <f>Kinderzuschlag!D197</f>
        <v>0</v>
      </c>
      <c r="Y35" s="205">
        <f>Kinderzuschlag!E197</f>
        <v>0</v>
      </c>
      <c r="Z35" s="205">
        <f>Kinderzuschlag!F197</f>
        <v>0</v>
      </c>
      <c r="AA35" s="205">
        <f>Kinderzuschlag!G197</f>
        <v>0</v>
      </c>
      <c r="AB35" s="205">
        <f>Kinderzuschlag!H197</f>
        <v>0</v>
      </c>
      <c r="AC35" s="205">
        <f>Kinderzuschlag!I197</f>
        <v>0</v>
      </c>
      <c r="AD35" s="1737"/>
      <c r="AE35" s="757" t="str">
        <f>Zuschuss§26!A35</f>
        <v>maßgebender Betrag</v>
      </c>
      <c r="AF35" s="934">
        <f>Zuschuss§26!B35</f>
        <v>0</v>
      </c>
      <c r="AG35" s="295">
        <f>Zuschuss§26!C35</f>
        <v>0</v>
      </c>
      <c r="AH35" s="295">
        <f>Zuschuss§26!D35</f>
        <v>0</v>
      </c>
      <c r="AI35" s="295">
        <f>Zuschuss§26!E35</f>
        <v>0</v>
      </c>
      <c r="AJ35" s="295">
        <f>Zuschuss§26!F35</f>
        <v>0</v>
      </c>
      <c r="AK35" s="296">
        <f>Zuschuss§26!G35</f>
        <v>0</v>
      </c>
    </row>
    <row r="36" spans="1:37" ht="17.25">
      <c r="A36" s="1318"/>
      <c r="B36" s="1380">
        <f t="shared" si="1"/>
        <v>0</v>
      </c>
      <c r="C36" s="1376">
        <f>IF(AND(B35&lt;B34,C35=C34,C35&gt;0),C34+(B34-B35)/K35,C35)</f>
        <v>0</v>
      </c>
      <c r="D36" s="1381">
        <f>IF(AND(B35&lt;B34,D35=D34,D35&gt;0),D34+(B34-B35)/K35,D35)</f>
        <v>0</v>
      </c>
      <c r="E36" s="1381">
        <f>IF(AND(B35&lt;B34,E35=E34,E35&gt;0),E34+(B34-B35)/K35,E35)</f>
        <v>0</v>
      </c>
      <c r="F36" s="1381">
        <f>IF(AND(B35&lt;B34,F35=F34,F35&gt;0),F34+(B34-B35)/K35,F35)</f>
        <v>0</v>
      </c>
      <c r="G36" s="1381">
        <f>IF(AND(B35&lt;B34,G35=G34,G35&gt;0),G34+(B34-B35)/K35,G35)</f>
        <v>0</v>
      </c>
      <c r="H36" s="1381">
        <f>IF(AND(B35&lt;B34,H35=H34,H35&gt;0),H34+(B34-B35)/K35,H35)</f>
        <v>0</v>
      </c>
      <c r="I36" s="1382">
        <f>IF(AND(B35&lt;B34,I35=I34,I35&gt;0),I34+(B34-B35)/K35,I35)</f>
        <v>0</v>
      </c>
      <c r="J36" s="1737"/>
      <c r="K36" s="408">
        <f>Wohngeld!A36</f>
        <v>0</v>
      </c>
      <c r="L36" s="1001">
        <f>Wohngeld!B36</f>
        <v>0</v>
      </c>
      <c r="M36" s="62">
        <f>Wohngeld!C36</f>
        <v>0</v>
      </c>
      <c r="N36" s="62">
        <f>Wohngeld!D36</f>
        <v>0</v>
      </c>
      <c r="O36" s="62">
        <f>Wohngeld!E36</f>
        <v>0</v>
      </c>
      <c r="P36" s="62">
        <f>Wohngeld!F36</f>
        <v>0</v>
      </c>
      <c r="Q36" s="62">
        <f>Wohngeld!G36</f>
        <v>0</v>
      </c>
      <c r="R36" s="62">
        <f>Wohngeld!H36</f>
        <v>0</v>
      </c>
      <c r="S36" s="110">
        <f>Wohngeld!I36</f>
        <v>0</v>
      </c>
      <c r="T36" s="1737"/>
      <c r="U36" s="205">
        <f>Kinderzuschlag!A198</f>
        <v>0</v>
      </c>
      <c r="V36" s="205">
        <f>Kinderzuschlag!B198</f>
        <v>0</v>
      </c>
      <c r="W36" s="205">
        <f>Kinderzuschlag!C198</f>
        <v>0</v>
      </c>
      <c r="X36" s="205">
        <f>Kinderzuschlag!D198</f>
        <v>0</v>
      </c>
      <c r="Y36" s="205">
        <f>Kinderzuschlag!E198</f>
        <v>0</v>
      </c>
      <c r="Z36" s="205">
        <f>Kinderzuschlag!F198</f>
        <v>0</v>
      </c>
      <c r="AA36" s="205">
        <f>Kinderzuschlag!G198</f>
        <v>0</v>
      </c>
      <c r="AB36" s="205">
        <f>Kinderzuschlag!H198</f>
        <v>0</v>
      </c>
      <c r="AC36" s="205">
        <f>Kinderzuschlag!I198</f>
        <v>0</v>
      </c>
      <c r="AD36" s="1737"/>
      <c r="AE36" s="757">
        <f>Zuschuss§26!A36</f>
        <v>0</v>
      </c>
      <c r="AF36" s="934">
        <f>Zuschuss§26!B36</f>
        <v>0</v>
      </c>
      <c r="AG36" s="295">
        <f>Zuschuss§26!C36</f>
        <v>0</v>
      </c>
      <c r="AH36" s="295">
        <f>Zuschuss§26!D36</f>
        <v>0</v>
      </c>
      <c r="AI36" s="295">
        <f>Zuschuss§26!E36</f>
        <v>0</v>
      </c>
      <c r="AJ36" s="295">
        <f>Zuschuss§26!F36</f>
        <v>0</v>
      </c>
      <c r="AK36" s="296">
        <f>Zuschuss§26!G36</f>
        <v>0</v>
      </c>
    </row>
    <row r="37" spans="1:37" ht="20.25" thickBot="1">
      <c r="A37" s="1316">
        <f>IF(B37&gt;0,Zusatzeingaben!A106,0)</f>
        <v>0</v>
      </c>
      <c r="B37" s="1380">
        <f t="shared" si="1"/>
        <v>0</v>
      </c>
      <c r="C37" s="1376">
        <f>IF(Zusatzeingaben!$K$18&gt;0,C35,C36)</f>
        <v>0</v>
      </c>
      <c r="D37" s="1381">
        <f>IF(Zusatzeingaben!$K$18&gt;0,D35,D36)</f>
        <v>0</v>
      </c>
      <c r="E37" s="1381">
        <f>IF(Zusatzeingaben!$K$18&gt;0,E35,E36)</f>
        <v>0</v>
      </c>
      <c r="F37" s="1381">
        <f>IF(Zusatzeingaben!$K$18&gt;0,F35,F36)</f>
        <v>0</v>
      </c>
      <c r="G37" s="1381">
        <f>IF(Zusatzeingaben!$K$18&gt;0,G35,G36)</f>
        <v>0</v>
      </c>
      <c r="H37" s="1381">
        <f>IF(Zusatzeingaben!$K$18&gt;0,H35,H36)</f>
        <v>0</v>
      </c>
      <c r="I37" s="1382">
        <f>IF(Zusatzeingaben!$K$18&gt;0,I35,I36)</f>
        <v>0</v>
      </c>
      <c r="J37" s="1737"/>
      <c r="K37" s="408">
        <f>Wohngeld!A37</f>
        <v>0</v>
      </c>
      <c r="L37" s="1001">
        <f>Wohngeld!B37</f>
        <v>0</v>
      </c>
      <c r="M37" s="62">
        <f>Wohngeld!C37</f>
        <v>0</v>
      </c>
      <c r="N37" s="62">
        <f>Wohngeld!D37</f>
        <v>0</v>
      </c>
      <c r="O37" s="62">
        <f>Wohngeld!E37</f>
        <v>0</v>
      </c>
      <c r="P37" s="62">
        <f>Wohngeld!F37</f>
        <v>0</v>
      </c>
      <c r="Q37" s="62">
        <f>Wohngeld!G37</f>
        <v>0</v>
      </c>
      <c r="R37" s="62">
        <f>Wohngeld!H37</f>
        <v>0</v>
      </c>
      <c r="S37" s="110">
        <f>Wohngeld!I37</f>
        <v>0</v>
      </c>
      <c r="T37" s="1737"/>
      <c r="U37" s="1139" t="str">
        <f>Kinderzuschlag!A193</f>
        <v xml:space="preserve">Anspruch auf Kinderzuschlag </v>
      </c>
      <c r="V37" s="1142" t="str">
        <f>Kinderzuschlag!B193</f>
        <v>0,00 €</v>
      </c>
      <c r="W37" s="1141">
        <f>Kinderzuschlag!C199</f>
        <v>170</v>
      </c>
      <c r="X37" s="2139" t="str">
        <f>Kinderzuschlag!D193</f>
        <v>kein KiZ - Einkommen der Eltern unterschreitet die Mindesteinkommensgrenze</v>
      </c>
      <c r="Y37" s="2140"/>
      <c r="Z37" s="2140"/>
      <c r="AA37" s="2140"/>
      <c r="AB37" s="2140"/>
      <c r="AC37" s="2141"/>
      <c r="AD37" s="1737"/>
      <c r="AE37" s="922" t="str">
        <f>Zuschuss§26!A37</f>
        <v>Zuschuss zur privaten Krankenversicherung</v>
      </c>
      <c r="AF37" s="934">
        <f>Zuschuss§26!B37</f>
        <v>0</v>
      </c>
      <c r="AG37" s="955">
        <f>Zuschuss§26!C37</f>
        <v>0</v>
      </c>
      <c r="AH37" s="955">
        <f>Zuschuss§26!D37</f>
        <v>0</v>
      </c>
      <c r="AI37" s="955">
        <f>Zuschuss§26!E37</f>
        <v>0</v>
      </c>
      <c r="AJ37" s="955">
        <f>Zuschuss§26!F37</f>
        <v>0</v>
      </c>
      <c r="AK37" s="960">
        <f>Zuschuss§26!G37</f>
        <v>0</v>
      </c>
    </row>
    <row r="38" spans="1:37" ht="18" thickBot="1">
      <c r="A38" s="1316"/>
      <c r="B38" s="1380">
        <f t="shared" si="1"/>
        <v>0</v>
      </c>
      <c r="C38" s="1376">
        <f>Zusatzeingaben!C114</f>
        <v>0</v>
      </c>
      <c r="D38" s="1381">
        <f>Zusatzeingaben!D114</f>
        <v>0</v>
      </c>
      <c r="E38" s="1381">
        <f>Zusatzeingaben!E114</f>
        <v>0</v>
      </c>
      <c r="F38" s="1381">
        <f>Zusatzeingaben!F114</f>
        <v>0</v>
      </c>
      <c r="G38" s="1381">
        <f>Zusatzeingaben!G114</f>
        <v>0</v>
      </c>
      <c r="H38" s="1381">
        <f>Zusatzeingaben!H114</f>
        <v>0</v>
      </c>
      <c r="I38" s="1382">
        <f>Zusatzeingaben!I114</f>
        <v>0</v>
      </c>
      <c r="J38" s="1737"/>
      <c r="K38" s="413">
        <f>Wohngeld!A38</f>
        <v>0</v>
      </c>
      <c r="L38" s="1004">
        <f>Wohngeld!B38</f>
        <v>0</v>
      </c>
      <c r="M38" s="286">
        <f>Wohngeld!C38</f>
        <v>0</v>
      </c>
      <c r="N38" s="286">
        <f>Wohngeld!D38</f>
        <v>0</v>
      </c>
      <c r="O38" s="286">
        <f>Wohngeld!E38</f>
        <v>0</v>
      </c>
      <c r="P38" s="286">
        <f>Wohngeld!F38</f>
        <v>0</v>
      </c>
      <c r="Q38" s="286">
        <f>Wohngeld!G38</f>
        <v>0</v>
      </c>
      <c r="R38" s="286">
        <f>Wohngeld!H38</f>
        <v>0</v>
      </c>
      <c r="S38" s="287">
        <f>Wohngeld!I38</f>
        <v>0</v>
      </c>
      <c r="T38" s="1737"/>
      <c r="AD38" s="1737"/>
      <c r="AE38" s="174">
        <f>Zuschuss§26!A38</f>
        <v>0</v>
      </c>
      <c r="AF38" s="935">
        <f>Zuschuss§26!B38</f>
        <v>0</v>
      </c>
      <c r="AG38" s="895">
        <f>Zuschuss§26!C38</f>
        <v>0</v>
      </c>
      <c r="AH38" s="895">
        <f>Zuschuss§26!D38</f>
        <v>0</v>
      </c>
      <c r="AI38" s="895">
        <f>Zuschuss§26!E38</f>
        <v>0</v>
      </c>
      <c r="AJ38" s="895">
        <f>Zuschuss§26!F38</f>
        <v>0</v>
      </c>
      <c r="AK38" s="896">
        <f>Zuschuss§26!G38</f>
        <v>0</v>
      </c>
    </row>
    <row r="39" spans="1:37" ht="18.75" thickTop="1" thickBot="1">
      <c r="A39" s="1316"/>
      <c r="B39" s="1380">
        <f t="shared" si="1"/>
        <v>0</v>
      </c>
      <c r="C39" s="1376">
        <f>C38</f>
        <v>0</v>
      </c>
      <c r="D39" s="1381">
        <f>D38</f>
        <v>0</v>
      </c>
      <c r="E39" s="1381">
        <f>IF(Zusatzeingaben!E8&gt;Zusatzeingaben!$E$2,E38*Zusatzeingaben!E14/30,IF(Zusatzeingaben!E18=25,E38*Zusatzeingaben!E10/30,E38))</f>
        <v>0</v>
      </c>
      <c r="F39" s="1381">
        <f>IF(Zusatzeingaben!F8&gt;Zusatzeingaben!$E$2,F38*Zusatzeingaben!F14/30,IF(Zusatzeingaben!F18=25,F38*Zusatzeingaben!F10/30,F38))</f>
        <v>0</v>
      </c>
      <c r="G39" s="1381">
        <f>IF(Zusatzeingaben!G8&gt;Zusatzeingaben!$E$2,G38*Zusatzeingaben!G14/30,IF(Zusatzeingaben!G18=25,G38*Zusatzeingaben!G10/30,G38))</f>
        <v>0</v>
      </c>
      <c r="H39" s="1381">
        <f>IF(Zusatzeingaben!H8&gt;Zusatzeingaben!$E$2,H38*Zusatzeingaben!H14/30,IF(Zusatzeingaben!H18=25,H38*Zusatzeingaben!H10/30,H38))</f>
        <v>0</v>
      </c>
      <c r="I39" s="1382">
        <f>IF(Zusatzeingaben!I8&gt;Zusatzeingaben!$E$2,I38*Zusatzeingaben!I14/30,IF(Zusatzeingaben!I18=25,I38*Zusatzeingaben!I10/30,I38))</f>
        <v>0</v>
      </c>
      <c r="J39" s="1737"/>
      <c r="K39" s="1006" t="str">
        <f>Wohngeld!A39</f>
        <v>Jahreseinkommen</v>
      </c>
      <c r="L39" s="1005">
        <f>Wohngeld!B39</f>
        <v>0</v>
      </c>
      <c r="M39" s="290">
        <f>Wohngeld!C39</f>
        <v>0</v>
      </c>
      <c r="N39" s="290">
        <f>Wohngeld!D39</f>
        <v>0</v>
      </c>
      <c r="O39" s="290">
        <f>Wohngeld!E39</f>
        <v>0</v>
      </c>
      <c r="P39" s="290">
        <f>Wohngeld!F39</f>
        <v>0</v>
      </c>
      <c r="Q39" s="290">
        <f>Wohngeld!G39</f>
        <v>0</v>
      </c>
      <c r="R39" s="290">
        <f>Wohngeld!H39</f>
        <v>0</v>
      </c>
      <c r="S39" s="291">
        <f>Wohngeld!I39</f>
        <v>0</v>
      </c>
      <c r="T39" s="1737"/>
      <c r="AD39" s="1737"/>
      <c r="AE39" s="903" t="str">
        <f>Zuschuss§26!A39</f>
        <v>Private Pflegeversicherung</v>
      </c>
      <c r="AF39" s="936">
        <f>Zuschuss§26!B39</f>
        <v>0</v>
      </c>
      <c r="AG39" s="898">
        <f>Zuschuss§26!C39</f>
        <v>0</v>
      </c>
      <c r="AH39" s="898">
        <f>Zuschuss§26!D39</f>
        <v>0</v>
      </c>
      <c r="AI39" s="898">
        <f>Zuschuss§26!E39</f>
        <v>0</v>
      </c>
      <c r="AJ39" s="898">
        <f>Zuschuss§26!F39</f>
        <v>0</v>
      </c>
      <c r="AK39" s="897">
        <f>Zuschuss§26!G39</f>
        <v>0</v>
      </c>
    </row>
    <row r="40" spans="1:37" ht="17.25">
      <c r="A40" s="1316"/>
      <c r="B40" s="1380">
        <f t="shared" si="1"/>
        <v>0</v>
      </c>
      <c r="C40" s="1376">
        <f>IF(AND(B39&lt;B38,C39=C38,C39&gt;0),C38+(B38-B39)/K39,C39)</f>
        <v>0</v>
      </c>
      <c r="D40" s="1381">
        <f>IF(AND(B39&lt;B38,D39=D38,D39&gt;0),D38+(B38-B39)/K39,D39)</f>
        <v>0</v>
      </c>
      <c r="E40" s="1381">
        <f>IF(AND(B39&lt;B38,E39=E38,E39&gt;0),E38+(B38-B39)/K39,E39)</f>
        <v>0</v>
      </c>
      <c r="F40" s="1381">
        <f>IF(AND(B39&lt;B38,F39=F38,F39&gt;0),F38+(B38-B39)/K39,F39)</f>
        <v>0</v>
      </c>
      <c r="G40" s="1381">
        <f>IF(AND(B39&lt;B38,G39=G38,G39&gt;0),G38+(B38-B39)/K39,G39)</f>
        <v>0</v>
      </c>
      <c r="H40" s="1381">
        <f>IF(AND(B39&lt;B38,H39=H38,H39&gt;0),H38+(B38-B39)/K39,H39)</f>
        <v>0</v>
      </c>
      <c r="I40" s="1382">
        <f>IF(AND(B39&lt;B38,I39=I38,I39&gt;0),I38+(B38-B39)/K39,I39)</f>
        <v>0</v>
      </c>
      <c r="J40" s="1737"/>
      <c r="K40" s="250">
        <f>Wohngeld!A40</f>
        <v>0</v>
      </c>
      <c r="L40" s="137">
        <f>Wohngeld!B40</f>
        <v>0</v>
      </c>
      <c r="M40" s="137">
        <f>Wohngeld!C40</f>
        <v>0</v>
      </c>
      <c r="N40" s="137">
        <f>Wohngeld!D40</f>
        <v>0</v>
      </c>
      <c r="O40" s="137">
        <f>Wohngeld!E40</f>
        <v>0</v>
      </c>
      <c r="P40" s="137">
        <f>Wohngeld!F40</f>
        <v>0</v>
      </c>
      <c r="Q40" s="137">
        <f>Wohngeld!G40</f>
        <v>0</v>
      </c>
      <c r="R40" s="137">
        <f>Wohngeld!H40</f>
        <v>0</v>
      </c>
      <c r="S40" s="175">
        <f>Wohngeld!I40</f>
        <v>0</v>
      </c>
      <c r="T40" s="1737"/>
      <c r="AD40" s="1737"/>
      <c r="AE40" s="877" t="str">
        <f>Zuschuss§26!A40</f>
        <v>halbierter Höchstbeitrag</v>
      </c>
      <c r="AF40" s="934">
        <f>Zuschuss§26!B40</f>
        <v>0</v>
      </c>
      <c r="AG40" s="295">
        <f>Zuschuss§26!C40</f>
        <v>0</v>
      </c>
      <c r="AH40" s="295">
        <f>Zuschuss§26!D40</f>
        <v>0</v>
      </c>
      <c r="AI40" s="295">
        <f>Zuschuss§26!E40</f>
        <v>0</v>
      </c>
      <c r="AJ40" s="295">
        <f>Zuschuss§26!F40</f>
        <v>0</v>
      </c>
      <c r="AK40" s="296">
        <f>Zuschuss§26!G40</f>
        <v>0</v>
      </c>
    </row>
    <row r="41" spans="1:37" ht="17.25">
      <c r="A41" s="1318"/>
      <c r="B41" s="1380">
        <f t="shared" si="1"/>
        <v>0</v>
      </c>
      <c r="C41" s="1376">
        <f>IF(Zusatzeingaben!$B$107&gt;0,C40,Zusatzeingaben!C114)</f>
        <v>0</v>
      </c>
      <c r="D41" s="1381">
        <f>IF(Zusatzeingaben!$B$107&gt;0,D40,Zusatzeingaben!D114)</f>
        <v>0</v>
      </c>
      <c r="E41" s="1381">
        <f>IF(Zusatzeingaben!$B$107&gt;0,E40,Zusatzeingaben!E114)</f>
        <v>0</v>
      </c>
      <c r="F41" s="1381">
        <f>IF(Zusatzeingaben!$B$107&gt;0,F40,Zusatzeingaben!F114)</f>
        <v>0</v>
      </c>
      <c r="G41" s="1381">
        <f>IF(Zusatzeingaben!$B$107&gt;0,G40,Zusatzeingaben!G114)</f>
        <v>0</v>
      </c>
      <c r="H41" s="1381">
        <f>IF(Zusatzeingaben!$B$107&gt;0,H40,Zusatzeingaben!H114)</f>
        <v>0</v>
      </c>
      <c r="I41" s="1382">
        <f>IF(Zusatzeingaben!$B$107&gt;0,I40,Zusatzeingaben!I114)</f>
        <v>0</v>
      </c>
      <c r="J41" s="1737"/>
      <c r="K41" s="408">
        <f>Wohngeld!A41</f>
        <v>0</v>
      </c>
      <c r="L41" s="1001">
        <f>Wohngeld!B41</f>
        <v>0</v>
      </c>
      <c r="M41" s="62">
        <f>Wohngeld!C41</f>
        <v>0</v>
      </c>
      <c r="N41" s="62">
        <f>Wohngeld!D41</f>
        <v>0</v>
      </c>
      <c r="O41" s="62">
        <f>Wohngeld!E41</f>
        <v>0</v>
      </c>
      <c r="P41" s="62">
        <f>Wohngeld!F41</f>
        <v>0</v>
      </c>
      <c r="Q41" s="62">
        <f>Wohngeld!G41</f>
        <v>0</v>
      </c>
      <c r="R41" s="62">
        <f>Wohngeld!H41</f>
        <v>0</v>
      </c>
      <c r="S41" s="110">
        <f>Wohngeld!I41</f>
        <v>0</v>
      </c>
      <c r="T41" s="1737"/>
      <c r="AD41" s="1737"/>
      <c r="AE41" s="877" t="str">
        <f>Zuschuss§26!A41</f>
        <v>tatsächlicher Pflegeversicherungsbeitrag</v>
      </c>
      <c r="AF41" s="934">
        <f>Zuschuss§26!B41</f>
        <v>0</v>
      </c>
      <c r="AG41" s="295">
        <f>Zuschuss§26!C41</f>
        <v>0</v>
      </c>
      <c r="AH41" s="295">
        <f>Zuschuss§26!D41</f>
        <v>0</v>
      </c>
      <c r="AI41" s="295">
        <f>Zuschuss§26!E41</f>
        <v>0</v>
      </c>
      <c r="AJ41" s="295">
        <f>Zuschuss§26!F41</f>
        <v>0</v>
      </c>
      <c r="AK41" s="296">
        <f>Zuschuss§26!G41</f>
        <v>0</v>
      </c>
    </row>
    <row r="42" spans="1:37" ht="17.25">
      <c r="A42" s="1316">
        <f>IF(B42&gt;0,"./. Kostenanteil für Haushaltsstrom",0)</f>
        <v>0</v>
      </c>
      <c r="B42" s="1380">
        <f t="shared" si="1"/>
        <v>0</v>
      </c>
      <c r="C42" s="1376">
        <f>IF(AND(Zusatzeingaben!$K$18&gt;0,Zusatzeingaben!$B$107&gt;0),C39,C41)</f>
        <v>0</v>
      </c>
      <c r="D42" s="1381">
        <f>IF(AND(Zusatzeingaben!$K$18&gt;0,Zusatzeingaben!$B$107&gt;0),D39,D41)</f>
        <v>0</v>
      </c>
      <c r="E42" s="1381">
        <f>IF(AND(Zusatzeingaben!$K$18&gt;0,Zusatzeingaben!$B$107&gt;0),E39,E41)</f>
        <v>0</v>
      </c>
      <c r="F42" s="1381">
        <f>IF(AND(Zusatzeingaben!$K$18&gt;0,Zusatzeingaben!$B$107&gt;0),F39,F41)</f>
        <v>0</v>
      </c>
      <c r="G42" s="1381">
        <f>IF(AND(Zusatzeingaben!$K$18&gt;0,Zusatzeingaben!$B$107&gt;0),G39,G41)</f>
        <v>0</v>
      </c>
      <c r="H42" s="1381">
        <f>IF(AND(Zusatzeingaben!$K$18&gt;0,Zusatzeingaben!$B$107&gt;0),H39,H41)</f>
        <v>0</v>
      </c>
      <c r="I42" s="1382">
        <f>IF(AND(Zusatzeingaben!$K$18&gt;0,Zusatzeingaben!$B$107&gt;0),I39,I41)</f>
        <v>0</v>
      </c>
      <c r="J42" s="1737"/>
      <c r="K42" s="408">
        <f>Wohngeld!A42</f>
        <v>0</v>
      </c>
      <c r="L42" s="1001">
        <f>Wohngeld!B42</f>
        <v>0</v>
      </c>
      <c r="M42" s="62">
        <f>Wohngeld!C42</f>
        <v>0</v>
      </c>
      <c r="N42" s="62">
        <f>Wohngeld!D42</f>
        <v>0</v>
      </c>
      <c r="O42" s="62">
        <f>Wohngeld!E42</f>
        <v>0</v>
      </c>
      <c r="P42" s="62">
        <f>Wohngeld!F42</f>
        <v>0</v>
      </c>
      <c r="Q42" s="62">
        <f>Wohngeld!G42</f>
        <v>0</v>
      </c>
      <c r="R42" s="62">
        <f>Wohngeld!H42</f>
        <v>0</v>
      </c>
      <c r="S42" s="110">
        <f>Wohngeld!I42</f>
        <v>0</v>
      </c>
      <c r="T42" s="1737"/>
      <c r="AD42" s="1737"/>
      <c r="AE42" s="877" t="str">
        <f>Zuschuss§26!A42</f>
        <v>maßgebender Betrag</v>
      </c>
      <c r="AF42" s="934">
        <f>Zuschuss§26!B42</f>
        <v>0</v>
      </c>
      <c r="AG42" s="295">
        <f>Zuschuss§26!C42</f>
        <v>0</v>
      </c>
      <c r="AH42" s="295">
        <f>Zuschuss§26!D42</f>
        <v>0</v>
      </c>
      <c r="AI42" s="295">
        <f>Zuschuss§26!E42</f>
        <v>0</v>
      </c>
      <c r="AJ42" s="295">
        <f>Zuschuss§26!F42</f>
        <v>0</v>
      </c>
      <c r="AK42" s="296">
        <f>Zuschuss§26!G42</f>
        <v>0</v>
      </c>
    </row>
    <row r="43" spans="1:37" ht="17.25">
      <c r="A43" s="1318"/>
      <c r="B43" s="1380">
        <f>Zusatzeingaben!C115</f>
        <v>0</v>
      </c>
      <c r="C43" s="1376">
        <f>B43/B7</f>
        <v>0</v>
      </c>
      <c r="D43" s="1381">
        <f>IF(D9=0,0,B43/B7)</f>
        <v>0</v>
      </c>
      <c r="E43" s="1381">
        <f>IF(Zusatzeingaben!E33=0,0,B43/B7)</f>
        <v>0</v>
      </c>
      <c r="F43" s="1381">
        <f>IF(Zusatzeingaben!F33=0,0,B43/B7)</f>
        <v>0</v>
      </c>
      <c r="G43" s="1381">
        <f>IF(Zusatzeingaben!G33=0,0,B43/B7)</f>
        <v>0</v>
      </c>
      <c r="H43" s="1381">
        <f>IF(Zusatzeingaben!H33=0,0,B43/B7)</f>
        <v>0</v>
      </c>
      <c r="I43" s="1382">
        <f>IF(Zusatzeingaben!I33=0,0,B43/B7)</f>
        <v>0</v>
      </c>
      <c r="J43" s="1737"/>
      <c r="K43" s="408">
        <f>Wohngeld!A43</f>
        <v>0</v>
      </c>
      <c r="L43" s="1001">
        <f>Wohngeld!B43</f>
        <v>0</v>
      </c>
      <c r="M43" s="62">
        <f>Wohngeld!C43</f>
        <v>0</v>
      </c>
      <c r="N43" s="62">
        <f>Wohngeld!D43</f>
        <v>0</v>
      </c>
      <c r="O43" s="62">
        <f>Wohngeld!E43</f>
        <v>0</v>
      </c>
      <c r="P43" s="62">
        <f>Wohngeld!F43</f>
        <v>0</v>
      </c>
      <c r="Q43" s="62">
        <f>Wohngeld!G43</f>
        <v>0</v>
      </c>
      <c r="R43" s="62">
        <f>Wohngeld!H43</f>
        <v>0</v>
      </c>
      <c r="S43" s="110">
        <f>Wohngeld!I43</f>
        <v>0</v>
      </c>
      <c r="T43" s="1737"/>
      <c r="AD43" s="1737"/>
      <c r="AE43" s="923">
        <f>Zuschuss§26!A43</f>
        <v>0</v>
      </c>
      <c r="AF43" s="934">
        <f>Zuschuss§26!B43</f>
        <v>0</v>
      </c>
      <c r="AG43" s="295">
        <f>Zuschuss§26!C43</f>
        <v>0</v>
      </c>
      <c r="AH43" s="295">
        <f>Zuschuss§26!D43</f>
        <v>0</v>
      </c>
      <c r="AI43" s="295">
        <f>Zuschuss§26!E43</f>
        <v>0</v>
      </c>
      <c r="AJ43" s="295">
        <f>Zuschuss§26!F43</f>
        <v>0</v>
      </c>
      <c r="AK43" s="296">
        <f>Zuschuss§26!G43</f>
        <v>0</v>
      </c>
    </row>
    <row r="44" spans="1:37" ht="17.25">
      <c r="A44" s="1316"/>
      <c r="B44" s="1380">
        <f>SUM(C44:I44)</f>
        <v>0</v>
      </c>
      <c r="C44" s="1376">
        <f>C43</f>
        <v>0</v>
      </c>
      <c r="D44" s="1381">
        <f>D43</f>
        <v>0</v>
      </c>
      <c r="E44" s="1381">
        <f>IF(Zusatzeingaben!E8&gt;Zusatzeingaben!E2,E43*Zusatzeingaben!E14/30,IF(Zusatzeingaben!E18=25,E43*Zusatzeingaben!E10/30,E43))</f>
        <v>0</v>
      </c>
      <c r="F44" s="1381">
        <f>IF(Zusatzeingaben!F8&gt;Zusatzeingaben!E2,F43*Zusatzeingaben!F14/30,IF(Zusatzeingaben!F18=25,F43*Zusatzeingaben!F10/30,F43))</f>
        <v>0</v>
      </c>
      <c r="G44" s="1381">
        <f>IF(Zusatzeingaben!G8&gt;Zusatzeingaben!E2,G43*Zusatzeingaben!G14/30,IF(Zusatzeingaben!G18=25,G43*Zusatzeingaben!G10/30,G43))</f>
        <v>0</v>
      </c>
      <c r="H44" s="1381">
        <f>IF(Zusatzeingaben!H8&gt;Zusatzeingaben!E2,H43*Zusatzeingaben!H14/30,IF(Zusatzeingaben!H18=25,H43*Zusatzeingaben!H10/30,H43))</f>
        <v>0</v>
      </c>
      <c r="I44" s="1382">
        <f>IF(Zusatzeingaben!I8&gt;Zusatzeingaben!E2,I43*Zusatzeingaben!I14/30,IF(Zusatzeingaben!I18=25,I43*Zusatzeingaben!I10/30,I43))</f>
        <v>0</v>
      </c>
      <c r="J44" s="1737"/>
      <c r="K44" s="408">
        <f>Wohngeld!A44</f>
        <v>0</v>
      </c>
      <c r="L44" s="62">
        <f>Wohngeld!B44</f>
        <v>0</v>
      </c>
      <c r="M44" s="62">
        <f>Wohngeld!C44</f>
        <v>0</v>
      </c>
      <c r="N44" s="62">
        <f>Wohngeld!D44</f>
        <v>0</v>
      </c>
      <c r="O44" s="62">
        <f>Wohngeld!E44</f>
        <v>0</v>
      </c>
      <c r="P44" s="62">
        <f>Wohngeld!F44</f>
        <v>0</v>
      </c>
      <c r="Q44" s="62">
        <f>Wohngeld!G44</f>
        <v>0</v>
      </c>
      <c r="R44" s="62">
        <f>Wohngeld!H44</f>
        <v>0</v>
      </c>
      <c r="S44" s="110">
        <f>Wohngeld!I44</f>
        <v>0</v>
      </c>
      <c r="T44" s="1737"/>
      <c r="AD44" s="1737"/>
      <c r="AE44" s="923">
        <f>Zuschuss§26!A44</f>
        <v>0</v>
      </c>
      <c r="AF44" s="934">
        <f>Zuschuss§26!B44</f>
        <v>0</v>
      </c>
      <c r="AG44" s="822">
        <f>Zuschuss§26!C44</f>
        <v>0</v>
      </c>
      <c r="AH44" s="822">
        <f>Zuschuss§26!D44</f>
        <v>0</v>
      </c>
      <c r="AI44" s="822">
        <f>Zuschuss§26!E44</f>
        <v>0</v>
      </c>
      <c r="AJ44" s="822">
        <f>Zuschuss§26!F44</f>
        <v>0</v>
      </c>
      <c r="AK44" s="968">
        <f>Zuschuss§26!G44</f>
        <v>0</v>
      </c>
    </row>
    <row r="45" spans="1:37" ht="18" thickBot="1">
      <c r="A45" s="1318"/>
      <c r="B45" s="1380">
        <f>SUM(C45:I45)</f>
        <v>0</v>
      </c>
      <c r="C45" s="1376">
        <f>IF(AND(B44&lt;B43,C44=C43,C44&gt;0),C43+(B43-B44)/K44,C44)</f>
        <v>0</v>
      </c>
      <c r="D45" s="1381">
        <f>IF(AND(B44&lt;B43,D44=D43,D44&gt;0),D43+(B43-B44)/K44,D44)</f>
        <v>0</v>
      </c>
      <c r="E45" s="1381">
        <f>IF(AND(B44&lt;B43,E44=E43,E44&gt;0),E43+(B43-B44)/K44,E44)</f>
        <v>0</v>
      </c>
      <c r="F45" s="1381">
        <f>IF(AND(B44&lt;B43,F44=F43,F44&gt;0),F43+(B43-B44)/K44,F44)</f>
        <v>0</v>
      </c>
      <c r="G45" s="1381">
        <f>IF(AND(B44&lt;B43,G44=G43,G44&gt;0),G43+(B43-B44)/K44,G44)</f>
        <v>0</v>
      </c>
      <c r="H45" s="1381">
        <f>IF(AND(B44&lt;B43,H44=H43,H44&gt;0),H43+(B43-B44)/K44,H44)</f>
        <v>0</v>
      </c>
      <c r="I45" s="1382">
        <f>IF(AND(B44&lt;B43,I44=I43,I44&gt;0),I43+(B43-B44)/K44,I44)</f>
        <v>0</v>
      </c>
      <c r="J45" s="1737"/>
      <c r="K45" s="413">
        <f>Wohngeld!A45</f>
        <v>0</v>
      </c>
      <c r="L45" s="1004">
        <f>Wohngeld!B45</f>
        <v>0</v>
      </c>
      <c r="M45" s="286">
        <f>Wohngeld!C45</f>
        <v>0</v>
      </c>
      <c r="N45" s="286">
        <f>Wohngeld!D45</f>
        <v>0</v>
      </c>
      <c r="O45" s="286">
        <f>Wohngeld!E45</f>
        <v>0</v>
      </c>
      <c r="P45" s="286">
        <f>Wohngeld!F45</f>
        <v>0</v>
      </c>
      <c r="Q45" s="286">
        <f>Wohngeld!G45</f>
        <v>0</v>
      </c>
      <c r="R45" s="286">
        <f>Wohngeld!H45</f>
        <v>0</v>
      </c>
      <c r="S45" s="287">
        <f>Wohngeld!I45</f>
        <v>0</v>
      </c>
      <c r="T45" s="1737"/>
      <c r="AD45" s="1737"/>
      <c r="AE45" s="906" t="str">
        <f>Zuschuss§26!A45</f>
        <v>Zuschuss zur privaten Pflegeversicherung</v>
      </c>
      <c r="AF45" s="937">
        <f>Zuschuss§26!B45</f>
        <v>0</v>
      </c>
      <c r="AG45" s="956">
        <f>Zuschuss§26!C45</f>
        <v>0</v>
      </c>
      <c r="AH45" s="956">
        <f>Zuschuss§26!D45</f>
        <v>0</v>
      </c>
      <c r="AI45" s="956">
        <f>Zuschuss§26!E45</f>
        <v>0</v>
      </c>
      <c r="AJ45" s="956">
        <f>Zuschuss§26!F45</f>
        <v>0</v>
      </c>
      <c r="AK45" s="959">
        <f>Zuschuss§26!G45</f>
        <v>0</v>
      </c>
    </row>
    <row r="46" spans="1:37" ht="18.75" thickTop="1" thickBot="1">
      <c r="A46" s="1316">
        <f>IF(B46&gt;0,"Heizkosten",0)</f>
        <v>0</v>
      </c>
      <c r="B46" s="1380">
        <f>SUM(C46:I46)</f>
        <v>0</v>
      </c>
      <c r="C46" s="1376">
        <f>IF(Zusatzeingaben!$K$18&gt;0,C44,C45)</f>
        <v>0</v>
      </c>
      <c r="D46" s="1381">
        <f>IF(Zusatzeingaben!$K$18&gt;0,D44,D45)</f>
        <v>0</v>
      </c>
      <c r="E46" s="1381">
        <f>IF(Zusatzeingaben!$K$18&gt;0,E44,E45)</f>
        <v>0</v>
      </c>
      <c r="F46" s="1381">
        <f>IF(Zusatzeingaben!$K$18&gt;0,F44,F45)</f>
        <v>0</v>
      </c>
      <c r="G46" s="1381">
        <f>IF(Zusatzeingaben!$K$18&gt;0,G44,G45)</f>
        <v>0</v>
      </c>
      <c r="H46" s="1381">
        <f>IF(Zusatzeingaben!$K$18&gt;0,H44,H45)</f>
        <v>0</v>
      </c>
      <c r="I46" s="1382">
        <f>IF(Zusatzeingaben!$K$18&gt;0,I44,I45)</f>
        <v>0</v>
      </c>
      <c r="J46" s="1737"/>
      <c r="K46" s="1052" t="str">
        <f>Wohngeld!A46</f>
        <v>verbleibendes Jahreseinkommen</v>
      </c>
      <c r="L46" s="1051">
        <f>Wohngeld!B46</f>
        <v>0</v>
      </c>
      <c r="M46" s="128">
        <f>Wohngeld!C46</f>
        <v>0</v>
      </c>
      <c r="N46" s="128">
        <f>Wohngeld!D46</f>
        <v>0</v>
      </c>
      <c r="O46" s="128">
        <f>Wohngeld!E46</f>
        <v>0</v>
      </c>
      <c r="P46" s="128">
        <f>Wohngeld!F46</f>
        <v>0</v>
      </c>
      <c r="Q46" s="128">
        <f>Wohngeld!G46</f>
        <v>0</v>
      </c>
      <c r="R46" s="128">
        <f>Wohngeld!H46</f>
        <v>0</v>
      </c>
      <c r="S46" s="190">
        <f>Wohngeld!I46</f>
        <v>0</v>
      </c>
      <c r="T46" s="1737"/>
      <c r="U46" s="1763" t="s">
        <v>2369</v>
      </c>
      <c r="AD46" s="1737"/>
      <c r="AE46" s="945">
        <f>Zuschuss§26!A46</f>
        <v>0</v>
      </c>
      <c r="AF46" s="946">
        <f>Zuschuss§26!B46</f>
        <v>0</v>
      </c>
      <c r="AG46" s="2127" t="str">
        <f>Zuschuss§26!C46</f>
        <v>bei Berücksichtigung der Beiträge als Einkommen siehe auch Arbeitsblatt Berechnung!</v>
      </c>
      <c r="AH46" s="2128"/>
      <c r="AI46" s="2128"/>
      <c r="AJ46" s="2128"/>
      <c r="AK46" s="2129"/>
    </row>
    <row r="47" spans="1:37" ht="17.25">
      <c r="A47" s="1319" t="s">
        <v>41</v>
      </c>
      <c r="B47" s="1385">
        <f>B24-B29+B33+B37-B42+B46</f>
        <v>0</v>
      </c>
      <c r="C47" s="1385">
        <f t="shared" ref="C47:I47" si="2">C24-C29+C33+C37-C42+C46</f>
        <v>0</v>
      </c>
      <c r="D47" s="1386">
        <f t="shared" si="2"/>
        <v>0</v>
      </c>
      <c r="E47" s="1386">
        <f t="shared" si="2"/>
        <v>0</v>
      </c>
      <c r="F47" s="1386">
        <f t="shared" si="2"/>
        <v>0</v>
      </c>
      <c r="G47" s="1386">
        <f t="shared" si="2"/>
        <v>0</v>
      </c>
      <c r="H47" s="1386">
        <f t="shared" si="2"/>
        <v>0</v>
      </c>
      <c r="I47" s="1387">
        <f t="shared" si="2"/>
        <v>0</v>
      </c>
      <c r="J47" s="1737"/>
      <c r="K47" s="408">
        <f>Wohngeld!A47</f>
        <v>0</v>
      </c>
      <c r="L47" s="1001">
        <f>Wohngeld!B47</f>
        <v>0</v>
      </c>
      <c r="M47" s="62">
        <f>Wohngeld!C47</f>
        <v>0</v>
      </c>
      <c r="N47" s="62">
        <f>Wohngeld!D47</f>
        <v>0</v>
      </c>
      <c r="O47" s="62">
        <f>Wohngeld!E47</f>
        <v>0</v>
      </c>
      <c r="P47" s="62">
        <f>Wohngeld!F47</f>
        <v>0</v>
      </c>
      <c r="Q47" s="62">
        <f>Wohngeld!G47</f>
        <v>0</v>
      </c>
      <c r="R47" s="62">
        <f>Wohngeld!H47</f>
        <v>0</v>
      </c>
      <c r="S47" s="110">
        <f>Wohngeld!I47</f>
        <v>0</v>
      </c>
      <c r="T47" s="1737"/>
      <c r="AD47" s="1737"/>
      <c r="AE47" s="909" t="str">
        <f>Zuschuss§26!A47</f>
        <v>Gesetzliche Krankenversicherung</v>
      </c>
      <c r="AF47" s="938">
        <f>Zuschuss§26!B47</f>
        <v>0</v>
      </c>
      <c r="AG47" s="905">
        <f>Zuschuss§26!C47</f>
        <v>0</v>
      </c>
      <c r="AH47" s="905">
        <f>Zuschuss§26!D47</f>
        <v>0</v>
      </c>
      <c r="AI47" s="905">
        <f>Zuschuss§26!E47</f>
        <v>0</v>
      </c>
      <c r="AJ47" s="905">
        <f>Zuschuss§26!F47</f>
        <v>0</v>
      </c>
      <c r="AK47" s="913">
        <f>Zuschuss§26!G47</f>
        <v>0</v>
      </c>
    </row>
    <row r="48" spans="1:37" ht="17.25" customHeight="1">
      <c r="A48" s="1320">
        <f>IF(B49&gt;0,"Sonstiger Bedarf",0)</f>
        <v>0</v>
      </c>
      <c r="B48" s="1376"/>
      <c r="C48" s="1377"/>
      <c r="D48" s="1378"/>
      <c r="E48" s="1378"/>
      <c r="F48" s="1378"/>
      <c r="G48" s="1378"/>
      <c r="H48" s="1378"/>
      <c r="I48" s="1379"/>
      <c r="J48" s="1737"/>
      <c r="K48" s="408">
        <f>Wohngeld!A48</f>
        <v>0</v>
      </c>
      <c r="L48" s="1001">
        <f>Wohngeld!B48</f>
        <v>0</v>
      </c>
      <c r="M48" s="62">
        <f>Wohngeld!C48</f>
        <v>0</v>
      </c>
      <c r="N48" s="62">
        <f>Wohngeld!D48</f>
        <v>0</v>
      </c>
      <c r="O48" s="62">
        <f>Wohngeld!E48</f>
        <v>0</v>
      </c>
      <c r="P48" s="62">
        <f>Wohngeld!F48</f>
        <v>0</v>
      </c>
      <c r="Q48" s="62">
        <f>Wohngeld!G48</f>
        <v>0</v>
      </c>
      <c r="R48" s="62">
        <f>Wohngeld!H48</f>
        <v>0</v>
      </c>
      <c r="S48" s="110">
        <f>Wohngeld!I48</f>
        <v>0</v>
      </c>
      <c r="T48" s="1737"/>
      <c r="AD48" s="1737"/>
      <c r="AE48" s="914">
        <f>Zuschuss§26!A48</f>
        <v>0</v>
      </c>
      <c r="AF48" s="939">
        <f>Zuschuss§26!B48</f>
        <v>0</v>
      </c>
      <c r="AG48" s="908">
        <f>Zuschuss§26!C48</f>
        <v>0</v>
      </c>
      <c r="AH48" s="908">
        <f>Zuschuss§26!D48</f>
        <v>0</v>
      </c>
      <c r="AI48" s="908">
        <f>Zuschuss§26!E48</f>
        <v>0</v>
      </c>
      <c r="AJ48" s="908">
        <f>Zuschuss§26!F48</f>
        <v>0</v>
      </c>
      <c r="AK48" s="929">
        <f>Zuschuss§26!G48</f>
        <v>0</v>
      </c>
    </row>
    <row r="49" spans="1:37" ht="16.5" customHeight="1" thickBot="1">
      <c r="A49" s="1321">
        <f>IF(B49&gt;0,Zusatzeingaben!A117,0)</f>
        <v>0</v>
      </c>
      <c r="B49" s="1388">
        <f>SUM(C49:I49)</f>
        <v>0</v>
      </c>
      <c r="C49" s="1389">
        <f>Zusatzeingaben!C117</f>
        <v>0</v>
      </c>
      <c r="D49" s="1389">
        <f>Zusatzeingaben!D117</f>
        <v>0</v>
      </c>
      <c r="E49" s="1389">
        <f>Zusatzeingaben!E117</f>
        <v>0</v>
      </c>
      <c r="F49" s="1390">
        <f>Zusatzeingaben!F117</f>
        <v>0</v>
      </c>
      <c r="G49" s="1390">
        <f>Zusatzeingaben!G117</f>
        <v>0</v>
      </c>
      <c r="H49" s="1390">
        <f>Zusatzeingaben!H117</f>
        <v>0</v>
      </c>
      <c r="I49" s="1391">
        <f>Zusatzeingaben!I117</f>
        <v>0</v>
      </c>
      <c r="J49" s="1737"/>
      <c r="K49" s="408">
        <f>Wohngeld!A49</f>
        <v>0</v>
      </c>
      <c r="L49" s="1001">
        <f>Wohngeld!B49</f>
        <v>0</v>
      </c>
      <c r="M49" s="62">
        <f>Wohngeld!C49</f>
        <v>0</v>
      </c>
      <c r="N49" s="62">
        <f>Wohngeld!D49</f>
        <v>0</v>
      </c>
      <c r="O49" s="62">
        <f>Wohngeld!E49</f>
        <v>0</v>
      </c>
      <c r="P49" s="62">
        <f>Wohngeld!F49</f>
        <v>0</v>
      </c>
      <c r="Q49" s="62">
        <f>Wohngeld!G49</f>
        <v>0</v>
      </c>
      <c r="R49" s="62">
        <f>Wohngeld!H49</f>
        <v>0</v>
      </c>
      <c r="S49" s="110">
        <f>Wohngeld!I49</f>
        <v>0</v>
      </c>
      <c r="T49" s="1737"/>
      <c r="AD49" s="1737"/>
      <c r="AE49" s="757" t="str">
        <f>Zuschuss§26!A49</f>
        <v>Freiwilliger Beitrag zur gesetzlichen Krankenversicherung</v>
      </c>
      <c r="AF49" s="934">
        <f>Zuschuss§26!B49</f>
        <v>0</v>
      </c>
      <c r="AG49" s="295">
        <f>Zuschuss§26!C49</f>
        <v>0</v>
      </c>
      <c r="AH49" s="295">
        <f>Zuschuss§26!D49</f>
        <v>0</v>
      </c>
      <c r="AI49" s="295">
        <f>Zuschuss§26!E49</f>
        <v>0</v>
      </c>
      <c r="AJ49" s="295">
        <f>Zuschuss§26!F49</f>
        <v>0</v>
      </c>
      <c r="AK49" s="296">
        <f>Zuschuss§26!G49</f>
        <v>0</v>
      </c>
    </row>
    <row r="50" spans="1:37" ht="23.25" customHeight="1" thickTop="1" thickBot="1">
      <c r="A50" s="1322" t="s">
        <v>21</v>
      </c>
      <c r="B50" s="1351">
        <f>SUM(C50:I50)</f>
        <v>416</v>
      </c>
      <c r="C50" s="1351">
        <f t="shared" ref="C50:I50" si="3">C11+C13+C14+C15+C16+C17+C18+C19+C47+C49</f>
        <v>416</v>
      </c>
      <c r="D50" s="1352">
        <f t="shared" si="3"/>
        <v>0</v>
      </c>
      <c r="E50" s="1352">
        <f t="shared" si="3"/>
        <v>0</v>
      </c>
      <c r="F50" s="1352">
        <f t="shared" si="3"/>
        <v>0</v>
      </c>
      <c r="G50" s="1352">
        <f t="shared" si="3"/>
        <v>0</v>
      </c>
      <c r="H50" s="1352">
        <f t="shared" si="3"/>
        <v>0</v>
      </c>
      <c r="I50" s="1353">
        <f t="shared" si="3"/>
        <v>0</v>
      </c>
      <c r="J50" s="1737"/>
      <c r="K50" s="413">
        <f>Wohngeld!A50</f>
        <v>0</v>
      </c>
      <c r="L50" s="1004">
        <f>Wohngeld!B50</f>
        <v>0</v>
      </c>
      <c r="M50" s="286">
        <f>Wohngeld!C50</f>
        <v>0</v>
      </c>
      <c r="N50" s="286">
        <f>Wohngeld!D50</f>
        <v>0</v>
      </c>
      <c r="O50" s="286">
        <f>Wohngeld!E50</f>
        <v>0</v>
      </c>
      <c r="P50" s="286">
        <f>Wohngeld!F50</f>
        <v>0</v>
      </c>
      <c r="Q50" s="286">
        <f>Wohngeld!G50</f>
        <v>0</v>
      </c>
      <c r="R50" s="286">
        <f>Wohngeld!H50</f>
        <v>0</v>
      </c>
      <c r="S50" s="287">
        <f>Wohngeld!I50</f>
        <v>0</v>
      </c>
      <c r="T50" s="1737"/>
      <c r="AD50" s="1737"/>
      <c r="AE50" s="757" t="str">
        <f>Zuschuss§26!A50</f>
        <v>Pflichtbeitrag zur gesetzlichen Krankenversicherung</v>
      </c>
      <c r="AF50" s="934">
        <f>Zuschuss§26!B50</f>
        <v>0</v>
      </c>
      <c r="AG50" s="295">
        <f>Zuschuss§26!C50</f>
        <v>0</v>
      </c>
      <c r="AH50" s="295">
        <f>Zuschuss§26!D50</f>
        <v>0</v>
      </c>
      <c r="AI50" s="295">
        <f>Zuschuss§26!E50</f>
        <v>0</v>
      </c>
      <c r="AJ50" s="295">
        <f>Zuschuss§26!F50</f>
        <v>0</v>
      </c>
      <c r="AK50" s="296">
        <f>Zuschuss§26!G50</f>
        <v>0</v>
      </c>
    </row>
    <row r="51" spans="1:37" ht="15" customHeight="1" thickTop="1" thickBot="1">
      <c r="C51" s="173">
        <f>VLOOKUP(E3,Bedarfssätze!B7:C14,2)</f>
        <v>391</v>
      </c>
      <c r="D51" s="173">
        <f>VLOOKUP(E3,Bedarfssätze!E7:F14,2)</f>
        <v>353</v>
      </c>
      <c r="E51" s="173">
        <f>VLOOKUP(E3,Bedarfssätze!B25:C32,2)</f>
        <v>296</v>
      </c>
      <c r="F51" s="173">
        <f>VLOOKUP(E3,Bedarfssätze!E25:F32,2)</f>
        <v>261</v>
      </c>
      <c r="G51" s="173">
        <f>VLOOKUP(E3,Bedarfssätze!H25:I32,2)</f>
        <v>229</v>
      </c>
      <c r="H51" s="173">
        <f>VLOOKUP(E3,Bedarfssätze!H7:I14,2)</f>
        <v>313</v>
      </c>
      <c r="J51" s="1737"/>
      <c r="K51" s="1100" t="str">
        <f>Wohngeld!A51</f>
        <v>Gesamteinkommen</v>
      </c>
      <c r="L51" s="1098">
        <f>Wohngeld!B51</f>
        <v>0</v>
      </c>
      <c r="M51" s="1056">
        <f>Wohngeld!C51</f>
        <v>0</v>
      </c>
      <c r="N51" s="1056">
        <f>Wohngeld!D51</f>
        <v>0</v>
      </c>
      <c r="O51" s="1056">
        <f>Wohngeld!E51</f>
        <v>0</v>
      </c>
      <c r="P51" s="1056">
        <f>Wohngeld!F51</f>
        <v>0</v>
      </c>
      <c r="Q51" s="1056">
        <f>Wohngeld!G51</f>
        <v>0</v>
      </c>
      <c r="R51" s="1056">
        <f>Wohngeld!H51</f>
        <v>0</v>
      </c>
      <c r="S51" s="1057">
        <f>Wohngeld!I51</f>
        <v>0</v>
      </c>
      <c r="T51" s="1737"/>
      <c r="AD51" s="1737"/>
      <c r="AE51" s="757">
        <f>Zuschuss§26!A51</f>
        <v>0</v>
      </c>
      <c r="AF51" s="961">
        <f>Zuschuss§26!B51</f>
        <v>0</v>
      </c>
      <c r="AG51" s="62">
        <f>Zuschuss§26!C51</f>
        <v>0</v>
      </c>
      <c r="AH51" s="62">
        <f>Zuschuss§26!D51</f>
        <v>0</v>
      </c>
      <c r="AI51" s="62">
        <f>Zuschuss§26!E51</f>
        <v>0</v>
      </c>
      <c r="AJ51" s="62">
        <f>Zuschuss§26!F51</f>
        <v>0</v>
      </c>
      <c r="AK51" s="110">
        <f>Zuschuss§26!G51</f>
        <v>0</v>
      </c>
    </row>
    <row r="52" spans="1:37" ht="23.1" customHeight="1" thickBot="1">
      <c r="A52" s="2112" t="s">
        <v>22</v>
      </c>
      <c r="B52" s="2105"/>
      <c r="C52" s="2105"/>
      <c r="D52" s="2105"/>
      <c r="E52" s="2105"/>
      <c r="F52" s="2105"/>
      <c r="G52" s="2105"/>
      <c r="H52" s="2105"/>
      <c r="I52" s="2106"/>
      <c r="J52" s="1737"/>
      <c r="K52" s="1053" t="str">
        <f>Wohngeld!A52</f>
        <v>monatlich</v>
      </c>
      <c r="L52" s="1103">
        <f>Wohngeld!B52</f>
        <v>0</v>
      </c>
      <c r="M52" s="1054">
        <f>Wohngeld!C52</f>
        <v>0</v>
      </c>
      <c r="N52" s="1054">
        <f>Wohngeld!D52</f>
        <v>0</v>
      </c>
      <c r="O52" s="1054">
        <f>Wohngeld!E52</f>
        <v>0</v>
      </c>
      <c r="P52" s="1054">
        <f>Wohngeld!F52</f>
        <v>0</v>
      </c>
      <c r="Q52" s="1054">
        <f>Wohngeld!G52</f>
        <v>0</v>
      </c>
      <c r="R52" s="1054">
        <f>Wohngeld!H52</f>
        <v>0</v>
      </c>
      <c r="S52" s="1055">
        <f>Wohngeld!I52</f>
        <v>0</v>
      </c>
      <c r="T52" s="1737"/>
      <c r="AD52" s="1737"/>
      <c r="AE52" s="757">
        <f>Zuschuss§26!A52</f>
        <v>0</v>
      </c>
      <c r="AF52" s="961">
        <f>Zuschuss§26!B52</f>
        <v>0</v>
      </c>
      <c r="AG52" s="62">
        <f>Zuschuss§26!C52</f>
        <v>0</v>
      </c>
      <c r="AH52" s="62">
        <f>Zuschuss§26!D52</f>
        <v>0</v>
      </c>
      <c r="AI52" s="62">
        <f>Zuschuss§26!E52</f>
        <v>0</v>
      </c>
      <c r="AJ52" s="62">
        <f>Zuschuss§26!F52</f>
        <v>0</v>
      </c>
      <c r="AK52" s="110">
        <f>Zuschuss§26!G52</f>
        <v>0</v>
      </c>
    </row>
    <row r="53" spans="1:37" ht="17.25" customHeight="1">
      <c r="A53" s="1309"/>
      <c r="B53" s="1298" t="s">
        <v>1</v>
      </c>
      <c r="C53" s="1298" t="str">
        <f>IF(Zusatzeingaben!C6&lt;&gt;0,Zusatzeingaben!C6,Zusatzeingaben!C4)</f>
        <v>Antragsteller</v>
      </c>
      <c r="D53" s="1298" t="str">
        <f>IF(Zusatzeingaben!D6&lt;&gt;0,Zusatzeingaben!D6,Zusatzeingaben!D4)</f>
        <v>Partner(in)</v>
      </c>
      <c r="E53" s="1298" t="str">
        <f>IF(Zusatzeingaben!E6&lt;&gt;0,Zusatzeingaben!E6,Zusatzeingaben!E4)</f>
        <v>Kind 1</v>
      </c>
      <c r="F53" s="1298" t="str">
        <f>IF(Zusatzeingaben!F6&lt;&gt;0,Zusatzeingaben!F6,Zusatzeingaben!F4)</f>
        <v>Kind 2</v>
      </c>
      <c r="G53" s="1298" t="str">
        <f>IF(Zusatzeingaben!G6&lt;&gt;0,Zusatzeingaben!G6,Zusatzeingaben!G4)</f>
        <v>Kind 3</v>
      </c>
      <c r="H53" s="1298" t="str">
        <f>IF(Zusatzeingaben!H6&lt;&gt;0,Zusatzeingaben!H6,Zusatzeingaben!H4)</f>
        <v>Kind 4</v>
      </c>
      <c r="I53" s="1300" t="str">
        <f>IF(Zusatzeingaben!I6&lt;&gt;0,Zusatzeingaben!I6,Zusatzeingaben!I4)</f>
        <v>Kind 5</v>
      </c>
      <c r="J53" s="1737"/>
      <c r="K53" s="212">
        <f>Wohngeld!A53</f>
        <v>0</v>
      </c>
      <c r="L53" s="212">
        <f>Wohngeld!B53</f>
        <v>0</v>
      </c>
      <c r="M53" s="212">
        <f>Wohngeld!C53</f>
        <v>0</v>
      </c>
      <c r="N53" s="212">
        <f>Wohngeld!D53</f>
        <v>0</v>
      </c>
      <c r="O53" s="212">
        <f>Wohngeld!E53</f>
        <v>0</v>
      </c>
      <c r="P53" s="212">
        <f>Wohngeld!F53</f>
        <v>0</v>
      </c>
      <c r="Q53" s="212">
        <f>Wohngeld!G53</f>
        <v>0</v>
      </c>
      <c r="R53" s="212">
        <f>Wohngeld!H53</f>
        <v>0</v>
      </c>
      <c r="S53" s="212">
        <f>Wohngeld!I53</f>
        <v>0</v>
      </c>
      <c r="T53" s="1737"/>
      <c r="AD53" s="1737"/>
      <c r="AE53" s="910" t="str">
        <f>Zuschuss§26!A53</f>
        <v>Zuschuss zur gesetzlichen Krankenversicherung</v>
      </c>
      <c r="AF53" s="940">
        <f>Zuschuss§26!B53</f>
        <v>0</v>
      </c>
      <c r="AG53" s="957">
        <f>Zuschuss§26!C53</f>
        <v>0</v>
      </c>
      <c r="AH53" s="957">
        <f>Zuschuss§26!D53</f>
        <v>0</v>
      </c>
      <c r="AI53" s="957">
        <f>Zuschuss§26!E53</f>
        <v>0</v>
      </c>
      <c r="AJ53" s="957">
        <f>Zuschuss§26!F53</f>
        <v>0</v>
      </c>
      <c r="AK53" s="958">
        <f>Zuschuss§26!G53</f>
        <v>0</v>
      </c>
    </row>
    <row r="54" spans="1:37" ht="23.25" hidden="1">
      <c r="A54" s="1320" t="s">
        <v>54</v>
      </c>
      <c r="B54" s="1330">
        <f>SUM(C54:I54)</f>
        <v>0</v>
      </c>
      <c r="C54" s="1331">
        <f>Zusatzeingaben!C140</f>
        <v>0</v>
      </c>
      <c r="D54" s="1331">
        <f>Zusatzeingaben!D140</f>
        <v>0</v>
      </c>
      <c r="E54" s="1331">
        <f>Zusatzeingaben!E140</f>
        <v>0</v>
      </c>
      <c r="F54" s="1331">
        <f>Zusatzeingaben!F140</f>
        <v>0</v>
      </c>
      <c r="G54" s="1331">
        <f>Zusatzeingaben!G140</f>
        <v>0</v>
      </c>
      <c r="H54" s="1331">
        <f>Zusatzeingaben!H140</f>
        <v>0</v>
      </c>
      <c r="I54" s="1332">
        <f>Zusatzeingaben!I140</f>
        <v>0</v>
      </c>
      <c r="J54" s="1737"/>
      <c r="K54" s="2112" t="str">
        <f>Wohngeld!A54</f>
        <v>mögliches Wohngeld</v>
      </c>
      <c r="L54" s="2105"/>
      <c r="M54" s="2105"/>
      <c r="N54" s="2105"/>
      <c r="O54" s="2105"/>
      <c r="P54" s="2105"/>
      <c r="Q54" s="2105"/>
      <c r="R54" s="2105"/>
      <c r="S54" s="2106"/>
      <c r="T54" s="1737"/>
      <c r="AD54" s="1737"/>
      <c r="AE54" s="911">
        <f>Zuschuss§26!A54</f>
        <v>0</v>
      </c>
      <c r="AF54" s="941">
        <f>Zuschuss§26!B54</f>
        <v>0</v>
      </c>
      <c r="AG54" s="912">
        <f>Zuschuss§26!C54</f>
        <v>0</v>
      </c>
      <c r="AH54" s="912">
        <f>Zuschuss§26!D54</f>
        <v>0</v>
      </c>
      <c r="AI54" s="912">
        <f>Zuschuss§26!E54</f>
        <v>0</v>
      </c>
      <c r="AJ54" s="912">
        <f>Zuschuss§26!F54</f>
        <v>0</v>
      </c>
      <c r="AK54" s="915">
        <f>Zuschuss§26!G54</f>
        <v>0</v>
      </c>
    </row>
    <row r="55" spans="1:37" ht="17.25">
      <c r="A55" s="1323">
        <f>IF(B55&gt;0,"Nettolohn",0)</f>
        <v>0</v>
      </c>
      <c r="B55" s="1392">
        <f>SUM(C55:I55)</f>
        <v>0</v>
      </c>
      <c r="C55" s="1381">
        <f>Zusatzeingaben!C133</f>
        <v>0</v>
      </c>
      <c r="D55" s="1381">
        <f>Zusatzeingaben!D133</f>
        <v>0</v>
      </c>
      <c r="E55" s="1381">
        <f>Zusatzeingaben!E133</f>
        <v>0</v>
      </c>
      <c r="F55" s="1381">
        <f>Zusatzeingaben!F133</f>
        <v>0</v>
      </c>
      <c r="G55" s="1381">
        <f>Zusatzeingaben!G133</f>
        <v>0</v>
      </c>
      <c r="H55" s="1381">
        <f>Zusatzeingaben!H133</f>
        <v>0</v>
      </c>
      <c r="I55" s="1382">
        <f>Zusatzeingaben!I133</f>
        <v>0</v>
      </c>
      <c r="J55" s="1737"/>
      <c r="K55" s="1099">
        <f>Wohngeld!A55</f>
        <v>0</v>
      </c>
      <c r="L55" s="1092">
        <f>Wohngeld!B55</f>
        <v>0</v>
      </c>
      <c r="M55" s="1090">
        <f>Wohngeld!C55</f>
        <v>0</v>
      </c>
      <c r="N55" s="1090">
        <f>Wohngeld!D55</f>
        <v>0</v>
      </c>
      <c r="O55" s="1090">
        <f>Wohngeld!E55</f>
        <v>0</v>
      </c>
      <c r="P55" s="1090">
        <f>Wohngeld!F55</f>
        <v>0</v>
      </c>
      <c r="Q55" s="1090">
        <f>Wohngeld!G55</f>
        <v>0</v>
      </c>
      <c r="R55" s="1090">
        <f>Wohngeld!H55</f>
        <v>0</v>
      </c>
      <c r="S55" s="1091">
        <f>Wohngeld!I55</f>
        <v>0</v>
      </c>
      <c r="T55" s="1737"/>
      <c r="AD55" s="1737"/>
      <c r="AE55" s="904" t="str">
        <f>Zuschuss§26!A55</f>
        <v>Gesetzliche Pflegeversicherung</v>
      </c>
      <c r="AF55" s="942">
        <f>Zuschuss§26!B55</f>
        <v>0</v>
      </c>
      <c r="AG55" s="891">
        <f>Zuschuss§26!C55</f>
        <v>0</v>
      </c>
      <c r="AH55" s="891">
        <f>Zuschuss§26!D55</f>
        <v>0</v>
      </c>
      <c r="AI55" s="891">
        <f>Zuschuss§26!E55</f>
        <v>0</v>
      </c>
      <c r="AJ55" s="891">
        <f>Zuschuss§26!F55</f>
        <v>0</v>
      </c>
      <c r="AK55" s="894">
        <f>Zuschuss§26!G55</f>
        <v>0</v>
      </c>
    </row>
    <row r="56" spans="1:37" ht="21" thickBot="1">
      <c r="A56" s="1312">
        <f>IF(B56&gt;0,"Ausbildungsvergütung (netto)",0)</f>
        <v>0</v>
      </c>
      <c r="B56" s="1392">
        <f t="shared" ref="B56:B70" si="4">SUM(C56:I56)</f>
        <v>0</v>
      </c>
      <c r="C56" s="1381">
        <f>Zusatzeingaben!C137</f>
        <v>0</v>
      </c>
      <c r="D56" s="1381">
        <f>Zusatzeingaben!D137</f>
        <v>0</v>
      </c>
      <c r="E56" s="1381">
        <f>Zusatzeingaben!E137</f>
        <v>0</v>
      </c>
      <c r="F56" s="1381">
        <f>Zusatzeingaben!F137</f>
        <v>0</v>
      </c>
      <c r="G56" s="1381">
        <f>Zusatzeingaben!G137</f>
        <v>0</v>
      </c>
      <c r="H56" s="1381">
        <f>Zusatzeingaben!H137</f>
        <v>0</v>
      </c>
      <c r="I56" s="1382">
        <f>Zusatzeingaben!I137</f>
        <v>0</v>
      </c>
      <c r="J56" s="1737"/>
      <c r="K56" s="1820" t="str">
        <f>IF(B161&gt;L56,"Theoretischer Anspruch","Anspruch")</f>
        <v>Anspruch</v>
      </c>
      <c r="L56" s="1821" t="str">
        <f>Wohngeld!B56</f>
        <v>0,00 €</v>
      </c>
      <c r="M56" s="1822">
        <f>Wohngeld!C56</f>
        <v>0</v>
      </c>
      <c r="N56" s="1822">
        <f>Wohngeld!D56</f>
        <v>0</v>
      </c>
      <c r="O56" s="1822">
        <f>Wohngeld!E56</f>
        <v>0</v>
      </c>
      <c r="P56" s="1822">
        <f>Wohngeld!F56</f>
        <v>0</v>
      </c>
      <c r="Q56" s="1822">
        <f>Wohngeld!G56</f>
        <v>0</v>
      </c>
      <c r="R56" s="1822">
        <f>Wohngeld!H56</f>
        <v>0</v>
      </c>
      <c r="S56" s="1823">
        <f>Wohngeld!I56</f>
        <v>0</v>
      </c>
      <c r="T56" s="1737"/>
      <c r="AD56" s="1737"/>
      <c r="AE56" s="877" t="str">
        <f>Zuschuss§26!A56</f>
        <v>Beitrag zur Pflegeversicherung</v>
      </c>
      <c r="AF56" s="934">
        <f>Zuschuss§26!B56</f>
        <v>0</v>
      </c>
      <c r="AG56" s="295">
        <f>Zuschuss§26!C56</f>
        <v>0</v>
      </c>
      <c r="AH56" s="295">
        <f>Zuschuss§26!D56</f>
        <v>0</v>
      </c>
      <c r="AI56" s="295">
        <f>Zuschuss§26!E56</f>
        <v>0</v>
      </c>
      <c r="AJ56" s="295">
        <f>Zuschuss§26!F56</f>
        <v>0</v>
      </c>
      <c r="AK56" s="296">
        <f>Zuschuss§26!G56</f>
        <v>0</v>
      </c>
    </row>
    <row r="57" spans="1:37" ht="17.25">
      <c r="A57" s="1312">
        <f>IF(B57&gt;0,Zusatzeingaben!A139,0)</f>
        <v>0</v>
      </c>
      <c r="B57" s="1392">
        <f t="shared" si="4"/>
        <v>0</v>
      </c>
      <c r="C57" s="1381">
        <f>Zusatzeingaben!C139</f>
        <v>0</v>
      </c>
      <c r="D57" s="1381">
        <f>Zusatzeingaben!D139</f>
        <v>0</v>
      </c>
      <c r="E57" s="1381">
        <f>Zusatzeingaben!E139</f>
        <v>0</v>
      </c>
      <c r="F57" s="1381">
        <f>Zusatzeingaben!F139</f>
        <v>0</v>
      </c>
      <c r="G57" s="1381">
        <f>Zusatzeingaben!G139</f>
        <v>0</v>
      </c>
      <c r="H57" s="1381">
        <f>Zusatzeingaben!H139</f>
        <v>0</v>
      </c>
      <c r="I57" s="1382">
        <f>Zusatzeingaben!I139</f>
        <v>0</v>
      </c>
      <c r="J57" s="1737"/>
      <c r="L57" s="2113" t="str">
        <f>IF(B161&gt;L56,"Da auch mit Wohngeld der Bedarf nicht gedeckt ist, wird der theoretisch mögliche Anspruch nicht gewährt werden","")</f>
        <v/>
      </c>
      <c r="M57" s="2114"/>
      <c r="N57" s="2114"/>
      <c r="O57" s="2114"/>
      <c r="P57" s="2114"/>
      <c r="Q57" s="2114"/>
      <c r="R57" s="2114"/>
      <c r="S57" s="2115"/>
      <c r="AD57" s="1737"/>
      <c r="AE57" s="877">
        <f>Zuschuss§26!A57</f>
        <v>0</v>
      </c>
      <c r="AF57" s="943">
        <f>Zuschuss§26!B57</f>
        <v>0</v>
      </c>
      <c r="AG57" s="295">
        <f>Zuschuss§26!C57</f>
        <v>0</v>
      </c>
      <c r="AH57" s="295">
        <f>Zuschuss§26!D57</f>
        <v>0</v>
      </c>
      <c r="AI57" s="295">
        <f>Zuschuss§26!E57</f>
        <v>0</v>
      </c>
      <c r="AJ57" s="295">
        <f>Zuschuss§26!F57</f>
        <v>0</v>
      </c>
      <c r="AK57" s="296">
        <f>Zuschuss§26!G57</f>
        <v>0</v>
      </c>
    </row>
    <row r="58" spans="1:37" ht="17.25">
      <c r="A58" s="1312">
        <f>IF(B58&gt;0,"steuerfreie Einnahmen Ehrenamt o.ä.",0)</f>
        <v>0</v>
      </c>
      <c r="B58" s="1392">
        <f t="shared" si="4"/>
        <v>0</v>
      </c>
      <c r="C58" s="1381">
        <f>Zusatzeingaben!C138</f>
        <v>0</v>
      </c>
      <c r="D58" s="1381">
        <f>Zusatzeingaben!D138</f>
        <v>0</v>
      </c>
      <c r="E58" s="1381">
        <f>Zusatzeingaben!E138</f>
        <v>0</v>
      </c>
      <c r="F58" s="1381">
        <f>Zusatzeingaben!F138</f>
        <v>0</v>
      </c>
      <c r="G58" s="1381">
        <f>Zusatzeingaben!G138</f>
        <v>0</v>
      </c>
      <c r="H58" s="1381">
        <f>Zusatzeingaben!H138</f>
        <v>0</v>
      </c>
      <c r="I58" s="1382">
        <f>Zusatzeingaben!I138</f>
        <v>0</v>
      </c>
      <c r="J58" s="1737"/>
      <c r="K58" s="1763" t="s">
        <v>2369</v>
      </c>
      <c r="AD58" s="1737"/>
      <c r="AE58" s="757">
        <f>Zuschuss§26!A58</f>
        <v>0</v>
      </c>
      <c r="AF58" s="943">
        <f>Zuschuss§26!B58</f>
        <v>0</v>
      </c>
      <c r="AG58" s="295">
        <f>Zuschuss§26!C58</f>
        <v>0</v>
      </c>
      <c r="AH58" s="295">
        <f>Zuschuss§26!D58</f>
        <v>0</v>
      </c>
      <c r="AI58" s="295">
        <f>Zuschuss§26!E58</f>
        <v>0</v>
      </c>
      <c r="AJ58" s="295">
        <f>Zuschuss§26!F58</f>
        <v>0</v>
      </c>
      <c r="AK58" s="296">
        <f>Zuschuss§26!G58</f>
        <v>0</v>
      </c>
    </row>
    <row r="59" spans="1:37" ht="18" thickBot="1">
      <c r="A59" s="1312">
        <f>IF(B59&gt;0,"Einkommen aus Freiwilligendienste",0)</f>
        <v>0</v>
      </c>
      <c r="B59" s="1392">
        <f t="shared" si="4"/>
        <v>0</v>
      </c>
      <c r="C59" s="1381">
        <f>Zusatzeingaben!C170</f>
        <v>0</v>
      </c>
      <c r="D59" s="1381">
        <f>Zusatzeingaben!D170</f>
        <v>0</v>
      </c>
      <c r="E59" s="1381">
        <f>Zusatzeingaben!E170</f>
        <v>0</v>
      </c>
      <c r="F59" s="1381">
        <f>Zusatzeingaben!F170</f>
        <v>0</v>
      </c>
      <c r="G59" s="1381">
        <f>Zusatzeingaben!G170</f>
        <v>0</v>
      </c>
      <c r="H59" s="1381">
        <f>Zusatzeingaben!H170</f>
        <v>0</v>
      </c>
      <c r="I59" s="1382">
        <f>Zusatzeingaben!I170</f>
        <v>0</v>
      </c>
      <c r="J59" s="1737"/>
      <c r="AD59" s="1737"/>
      <c r="AE59" s="906" t="str">
        <f>Zuschuss§26!A59</f>
        <v>Zuschuss zur gesetzlichen Pflegeversicherung</v>
      </c>
      <c r="AF59" s="944">
        <f>Zuschuss§26!B59</f>
        <v>0</v>
      </c>
      <c r="AG59" s="956">
        <f>Zuschuss§26!C59</f>
        <v>0</v>
      </c>
      <c r="AH59" s="956">
        <f>Zuschuss§26!D59</f>
        <v>0</v>
      </c>
      <c r="AI59" s="956">
        <f>Zuschuss§26!E59</f>
        <v>0</v>
      </c>
      <c r="AJ59" s="956">
        <f>Zuschuss§26!F59</f>
        <v>0</v>
      </c>
      <c r="AK59" s="959">
        <f>Zuschuss§26!G59</f>
        <v>0</v>
      </c>
    </row>
    <row r="60" spans="1:37" ht="17.25">
      <c r="A60" s="1312">
        <f>IF(B60&gt;0,"Elterngeld",0)</f>
        <v>0</v>
      </c>
      <c r="B60" s="1392">
        <f t="shared" si="4"/>
        <v>0</v>
      </c>
      <c r="C60" s="1381">
        <f>Zusatzeingaben!C174</f>
        <v>0</v>
      </c>
      <c r="D60" s="1381">
        <f>Zusatzeingaben!D174</f>
        <v>0</v>
      </c>
      <c r="E60" s="1381"/>
      <c r="F60" s="1381"/>
      <c r="G60" s="1381"/>
      <c r="H60" s="1381"/>
      <c r="I60" s="1382"/>
      <c r="J60" s="1737"/>
    </row>
    <row r="61" spans="1:37" ht="17.25">
      <c r="A61" s="1312">
        <f>IF(B61&gt;0,Zusatzeingaben!A180,0)</f>
        <v>0</v>
      </c>
      <c r="B61" s="1392">
        <f t="shared" si="4"/>
        <v>0</v>
      </c>
      <c r="C61" s="1381">
        <f>Zusatzeingaben!C180</f>
        <v>0</v>
      </c>
      <c r="D61" s="1381">
        <f>Zusatzeingaben!D180</f>
        <v>0</v>
      </c>
      <c r="E61" s="1381">
        <f>Zusatzeingaben!E180</f>
        <v>0</v>
      </c>
      <c r="F61" s="1381">
        <f>Zusatzeingaben!F180</f>
        <v>0</v>
      </c>
      <c r="G61" s="1381"/>
      <c r="H61" s="1381"/>
      <c r="I61" s="1382"/>
      <c r="J61" s="1737"/>
      <c r="AE61" s="1763" t="s">
        <v>2369</v>
      </c>
    </row>
    <row r="62" spans="1:37" ht="17.25">
      <c r="A62" s="1312">
        <f>IF(B62&gt;0,"Kindergeld",0)</f>
        <v>0</v>
      </c>
      <c r="B62" s="1392">
        <f t="shared" si="4"/>
        <v>0</v>
      </c>
      <c r="C62" s="1381">
        <f>Zusatzeingaben!C192</f>
        <v>0</v>
      </c>
      <c r="D62" s="1381">
        <f>Zusatzeingaben!D192</f>
        <v>0</v>
      </c>
      <c r="E62" s="1381">
        <f>MAX(Eingabetabelle!F97:'Eingabetabelle'!F98)</f>
        <v>0</v>
      </c>
      <c r="F62" s="1381">
        <f>MAX(Eingabetabelle!G97:'Eingabetabelle'!G98)</f>
        <v>0</v>
      </c>
      <c r="G62" s="1381">
        <f>MAX(Eingabetabelle!H97:'Eingabetabelle'!H98)</f>
        <v>0</v>
      </c>
      <c r="H62" s="1381">
        <f>MAX(Eingabetabelle!I97:'Eingabetabelle'!I98)</f>
        <v>0</v>
      </c>
      <c r="I62" s="1381">
        <f>MAX(Eingabetabelle!J97:'Eingabetabelle'!J98)</f>
        <v>0</v>
      </c>
      <c r="J62" s="1737"/>
    </row>
    <row r="63" spans="1:37" ht="17.25">
      <c r="A63" s="1312">
        <f>IF(B63&gt;0,"Unterhalt/Unterhaltsvorschuss",0)</f>
        <v>0</v>
      </c>
      <c r="B63" s="1392">
        <f t="shared" si="4"/>
        <v>0</v>
      </c>
      <c r="C63" s="1381">
        <f>Zusatzeingaben!C195</f>
        <v>0</v>
      </c>
      <c r="D63" s="1381">
        <f>Zusatzeingaben!D195</f>
        <v>0</v>
      </c>
      <c r="E63" s="1381">
        <f>Zusatzeingaben!E195</f>
        <v>0</v>
      </c>
      <c r="F63" s="1381">
        <f>Zusatzeingaben!F195</f>
        <v>0</v>
      </c>
      <c r="G63" s="1381">
        <f>Zusatzeingaben!G195</f>
        <v>0</v>
      </c>
      <c r="H63" s="1381">
        <f>Zusatzeingaben!H195</f>
        <v>0</v>
      </c>
      <c r="I63" s="1382">
        <f>Zusatzeingaben!I195</f>
        <v>0</v>
      </c>
      <c r="J63" s="1737"/>
    </row>
    <row r="64" spans="1:37" ht="17.25">
      <c r="A64" s="1312">
        <f>IF(B64&gt;0,Zusatzeingaben!A196,0)</f>
        <v>0</v>
      </c>
      <c r="B64" s="1392">
        <f t="shared" si="4"/>
        <v>0</v>
      </c>
      <c r="C64" s="1381">
        <f>Zusatzeingaben!C196</f>
        <v>0</v>
      </c>
      <c r="D64" s="1381">
        <f>Zusatzeingaben!D196</f>
        <v>0</v>
      </c>
      <c r="E64" s="1381">
        <f>Zusatzeingaben!E196</f>
        <v>0</v>
      </c>
      <c r="F64" s="1381">
        <f>Zusatzeingaben!F196</f>
        <v>0</v>
      </c>
      <c r="G64" s="1381">
        <f>Zusatzeingaben!G196</f>
        <v>0</v>
      </c>
      <c r="H64" s="1381">
        <f>Zusatzeingaben!H196</f>
        <v>0</v>
      </c>
      <c r="I64" s="1382">
        <f>Zusatzeingaben!I196</f>
        <v>0</v>
      </c>
      <c r="J64" s="1737"/>
    </row>
    <row r="65" spans="1:10" ht="17.25">
      <c r="A65" s="1312">
        <f>IF(B65&gt;0,"Altersrente",0)</f>
        <v>0</v>
      </c>
      <c r="B65" s="1392">
        <f t="shared" si="4"/>
        <v>0</v>
      </c>
      <c r="C65" s="1381">
        <f>Zusatzeingaben!C197</f>
        <v>0</v>
      </c>
      <c r="D65" s="1381">
        <f>Zusatzeingaben!D197</f>
        <v>0</v>
      </c>
      <c r="E65" s="1381">
        <f>Zusatzeingaben!E197</f>
        <v>0</v>
      </c>
      <c r="F65" s="1381">
        <f>Zusatzeingaben!F197</f>
        <v>0</v>
      </c>
      <c r="G65" s="1381">
        <f>Zusatzeingaben!G197</f>
        <v>0</v>
      </c>
      <c r="H65" s="1381">
        <f>Zusatzeingaben!H197</f>
        <v>0</v>
      </c>
      <c r="I65" s="1382">
        <f>Zusatzeingaben!I197</f>
        <v>0</v>
      </c>
      <c r="J65" s="1737"/>
    </row>
    <row r="66" spans="1:10" ht="17.25">
      <c r="A66" s="1312">
        <f>IF(B66&gt;0,Zusatzeingaben!A198,0)</f>
        <v>0</v>
      </c>
      <c r="B66" s="1392">
        <f t="shared" si="4"/>
        <v>0</v>
      </c>
      <c r="C66" s="1381">
        <f>Zusatzeingaben!C198</f>
        <v>0</v>
      </c>
      <c r="D66" s="1381">
        <f>Zusatzeingaben!D198</f>
        <v>0</v>
      </c>
      <c r="E66" s="1381">
        <f>Zusatzeingaben!E198</f>
        <v>0</v>
      </c>
      <c r="F66" s="1381">
        <f>Zusatzeingaben!F198</f>
        <v>0</v>
      </c>
      <c r="G66" s="1381">
        <f>Zusatzeingaben!G198</f>
        <v>0</v>
      </c>
      <c r="H66" s="1381">
        <f>Zusatzeingaben!H198</f>
        <v>0</v>
      </c>
      <c r="I66" s="1382">
        <f>Zusatzeingaben!I198</f>
        <v>0</v>
      </c>
      <c r="J66" s="1737"/>
    </row>
    <row r="67" spans="1:10" ht="17.25" hidden="1">
      <c r="A67" s="1312"/>
      <c r="B67" s="1392">
        <f t="shared" si="4"/>
        <v>0</v>
      </c>
      <c r="C67" s="1381"/>
      <c r="D67" s="1381"/>
      <c r="E67" s="1381"/>
      <c r="F67" s="1381"/>
      <c r="G67" s="1381"/>
      <c r="H67" s="1381"/>
      <c r="I67" s="1382"/>
      <c r="J67" s="1737"/>
    </row>
    <row r="68" spans="1:10" ht="16.5" customHeight="1" thickBot="1">
      <c r="A68" s="1324">
        <f>IF(B68&gt;0,Zusatzeingaben!A199,0)</f>
        <v>0</v>
      </c>
      <c r="B68" s="1393">
        <f t="shared" si="4"/>
        <v>0</v>
      </c>
      <c r="C68" s="1390">
        <f>Zusatzeingaben!C199</f>
        <v>0</v>
      </c>
      <c r="D68" s="1390">
        <f>Zusatzeingaben!D199</f>
        <v>0</v>
      </c>
      <c r="E68" s="1390">
        <f>Zusatzeingaben!E199</f>
        <v>0</v>
      </c>
      <c r="F68" s="1390">
        <f>Zusatzeingaben!F199</f>
        <v>0</v>
      </c>
      <c r="G68" s="1390">
        <f>Zusatzeingaben!G199</f>
        <v>0</v>
      </c>
      <c r="H68" s="1390">
        <f>Zusatzeingaben!H199</f>
        <v>0</v>
      </c>
      <c r="I68" s="1391">
        <f>Zusatzeingaben!I199</f>
        <v>0</v>
      </c>
      <c r="J68" s="1737"/>
    </row>
    <row r="69" spans="1:10" ht="18.75" hidden="1" thickTop="1" thickBot="1">
      <c r="A69" s="1314"/>
      <c r="B69" s="1394"/>
      <c r="C69" s="1395">
        <f>SUM(C60:C68)</f>
        <v>0</v>
      </c>
      <c r="D69" s="1395">
        <f t="shared" ref="D69:I69" si="5">SUM(D60:D68)</f>
        <v>0</v>
      </c>
      <c r="E69" s="1395">
        <f t="shared" si="5"/>
        <v>0</v>
      </c>
      <c r="F69" s="1395">
        <f t="shared" si="5"/>
        <v>0</v>
      </c>
      <c r="G69" s="1395">
        <f t="shared" si="5"/>
        <v>0</v>
      </c>
      <c r="H69" s="1395">
        <f t="shared" si="5"/>
        <v>0</v>
      </c>
      <c r="I69" s="1396">
        <f t="shared" si="5"/>
        <v>0</v>
      </c>
      <c r="J69" s="1737"/>
    </row>
    <row r="70" spans="1:10" ht="18.75" thickTop="1" thickBot="1">
      <c r="A70" s="1325" t="s">
        <v>26</v>
      </c>
      <c r="B70" s="1397">
        <f t="shared" si="4"/>
        <v>0</v>
      </c>
      <c r="C70" s="1398">
        <f t="shared" ref="C70:I70" si="6">SUM(C55:C68)</f>
        <v>0</v>
      </c>
      <c r="D70" s="1398">
        <f t="shared" si="6"/>
        <v>0</v>
      </c>
      <c r="E70" s="1398">
        <f t="shared" si="6"/>
        <v>0</v>
      </c>
      <c r="F70" s="1398">
        <f t="shared" si="6"/>
        <v>0</v>
      </c>
      <c r="G70" s="1398">
        <f t="shared" si="6"/>
        <v>0</v>
      </c>
      <c r="H70" s="1398">
        <f t="shared" si="6"/>
        <v>0</v>
      </c>
      <c r="I70" s="1399">
        <f t="shared" si="6"/>
        <v>0</v>
      </c>
      <c r="J70" s="1737"/>
    </row>
    <row r="71" spans="1:10" ht="16.5" customHeight="1">
      <c r="A71" s="1318"/>
      <c r="B71" s="1381"/>
      <c r="C71" s="1400">
        <f>IF(AND(Zusatzeingaben!C161&gt;0,Zusatzeingaben!C164=Zusatzeingaben!C161),0,Zusatzeingaben!C203)</f>
        <v>0</v>
      </c>
      <c r="D71" s="1400">
        <f>IF(AND(Zusatzeingaben!D161&gt;0,Zusatzeingaben!D164=Zusatzeingaben!D161),0,Zusatzeingaben!D203)</f>
        <v>0</v>
      </c>
      <c r="E71" s="1400">
        <f>IF(AND(Zusatzeingaben!E161&gt;0,Zusatzeingaben!E164=Zusatzeingaben!E161),0,Zusatzeingaben!E203)</f>
        <v>0</v>
      </c>
      <c r="F71" s="1400">
        <f>IF(AND(Zusatzeingaben!F161&gt;0,Zusatzeingaben!F164=Zusatzeingaben!F161),0,Zusatzeingaben!F203)</f>
        <v>0</v>
      </c>
      <c r="G71" s="1400">
        <f>IF(AND(Zusatzeingaben!G161&gt;0,Zusatzeingaben!G164=Zusatzeingaben!G161),0,Zusatzeingaben!G203)</f>
        <v>0</v>
      </c>
      <c r="H71" s="1400">
        <f>IF(AND(Zusatzeingaben!H161&gt;0,Zusatzeingaben!H164=Zusatzeingaben!H161),0,Zusatzeingaben!H203)</f>
        <v>0</v>
      </c>
      <c r="I71" s="1401">
        <f>IF(AND(Zusatzeingaben!I161&gt;0,Zusatzeingaben!I164=Zusatzeingaben!I161),0,Zusatzeingaben!I203)</f>
        <v>0</v>
      </c>
      <c r="J71" s="1737"/>
    </row>
    <row r="72" spans="1:10" ht="16.5" customHeight="1">
      <c r="A72" s="1318"/>
      <c r="B72" s="1381"/>
      <c r="C72" s="1400">
        <f>IF(AND(Zusatzeingaben!C215&gt;C113,C78&lt;0),C71+C78,C71)</f>
        <v>0</v>
      </c>
      <c r="D72" s="1400">
        <f>IF(AND(Zusatzeingaben!D215&gt;D113,D78&lt;0),D71+D78,D71)</f>
        <v>0</v>
      </c>
      <c r="E72" s="1400">
        <f>IF(AND(Zusatzeingaben!E215&gt;E113,E78&lt;0),E71+E78,E71)</f>
        <v>0</v>
      </c>
      <c r="F72" s="1400">
        <f>IF(AND(Zusatzeingaben!F215&gt;F113,F78&lt;0),F71+F78,F71)</f>
        <v>0</v>
      </c>
      <c r="G72" s="1400">
        <f>IF(AND(Zusatzeingaben!G215&gt;G113,G78&lt;0),G71+G78,G71)</f>
        <v>0</v>
      </c>
      <c r="H72" s="1400">
        <f>IF(AND(Zusatzeingaben!H215&gt;H113,H78&lt;0),H71+H78,H71)</f>
        <v>0</v>
      </c>
      <c r="I72" s="1401">
        <f>IF(AND(Zusatzeingaben!I215&gt;I113,I78&lt;0),I71+I78,I71)</f>
        <v>0</v>
      </c>
      <c r="J72" s="1737"/>
    </row>
    <row r="73" spans="1:10" ht="16.5" customHeight="1">
      <c r="A73" s="1318"/>
      <c r="B73" s="1381"/>
      <c r="C73" s="1400">
        <f>IF(AND(C113&gt;0,Zusatzeingaben!C215&lt;C113),0,C72)</f>
        <v>0</v>
      </c>
      <c r="D73" s="1400">
        <f>IF(AND(D113&gt;0,Zusatzeingaben!D215&lt;D113),0,D72)</f>
        <v>0</v>
      </c>
      <c r="E73" s="1400">
        <f>IF(AND(E113&gt;0,Zusatzeingaben!E215&lt;E113),0,E72)</f>
        <v>0</v>
      </c>
      <c r="F73" s="1400">
        <f>IF(AND(F113&gt;0,Zusatzeingaben!F215&lt;F113),0,F72)</f>
        <v>0</v>
      </c>
      <c r="G73" s="1400">
        <f>IF(AND(G113&gt;0,Zusatzeingaben!G215&lt;G113),0,G72)</f>
        <v>0</v>
      </c>
      <c r="H73" s="1400">
        <f>IF(AND(H113&gt;0,Zusatzeingaben!H215&lt;H113),0,H72)</f>
        <v>0</v>
      </c>
      <c r="I73" s="1401">
        <f>IF(AND(I113&gt;0,Zusatzeingaben!I215&lt;I113),0,I72)</f>
        <v>0</v>
      </c>
      <c r="J73" s="1737"/>
    </row>
    <row r="74" spans="1:10" ht="16.5" customHeight="1">
      <c r="A74" s="1318"/>
      <c r="B74" s="1381"/>
      <c r="C74" s="1400">
        <f>IF(C113=0,Zusatzeingaben!C203,0)</f>
        <v>0</v>
      </c>
      <c r="D74" s="1400">
        <f>IF(D113=0,Zusatzeingaben!D203,0)</f>
        <v>0</v>
      </c>
      <c r="E74" s="1400">
        <f>IF(E113=0,Zusatzeingaben!E203,0)</f>
        <v>0</v>
      </c>
      <c r="F74" s="1400">
        <f>IF(F113=0,Zusatzeingaben!F203,0)</f>
        <v>0</v>
      </c>
      <c r="G74" s="1400">
        <f>IF(G113=0,Zusatzeingaben!G203,0)</f>
        <v>0</v>
      </c>
      <c r="H74" s="1400">
        <f>IF(H113=0,Zusatzeingaben!H203,0)</f>
        <v>0</v>
      </c>
      <c r="I74" s="1401">
        <f>IF(I113=0,Zusatzeingaben!I203,0)</f>
        <v>0</v>
      </c>
      <c r="J74" s="1737"/>
    </row>
    <row r="75" spans="1:10" ht="16.5" customHeight="1" thickBot="1">
      <c r="A75" s="1318"/>
      <c r="B75" s="1402"/>
      <c r="C75" s="1395">
        <f>IF(C74=30,C74,C73)</f>
        <v>0</v>
      </c>
      <c r="D75" s="1395">
        <f t="shared" ref="D75:I75" si="7">IF(D74=30,D74,D73)</f>
        <v>0</v>
      </c>
      <c r="E75" s="1395">
        <f t="shared" si="7"/>
        <v>0</v>
      </c>
      <c r="F75" s="1395">
        <f t="shared" si="7"/>
        <v>0</v>
      </c>
      <c r="G75" s="1395">
        <f t="shared" si="7"/>
        <v>0</v>
      </c>
      <c r="H75" s="1395">
        <f t="shared" si="7"/>
        <v>0</v>
      </c>
      <c r="I75" s="1396">
        <f t="shared" si="7"/>
        <v>0</v>
      </c>
      <c r="J75" s="1737"/>
    </row>
    <row r="76" spans="1:10" ht="17.25">
      <c r="A76" s="1326">
        <f>IF(B76&gt;0,"./. Versicherungspauschale",0)</f>
        <v>0</v>
      </c>
      <c r="B76" s="1403">
        <f>SUM(C76:I76)</f>
        <v>0</v>
      </c>
      <c r="C76" s="1404">
        <f>IF(C70=0,0,IF(C75&lt;0,0,IF(AND(C114&gt;0,C54&lt;=400),0,IF(AND(C114&gt;0,Zusatzeingaben!C141=0),0,IF(AND(C61&gt;0,C120=Zusatzeingaben!C189,Zusatzeingaben!C189&gt;0),0,C75)))))</f>
        <v>0</v>
      </c>
      <c r="D76" s="1404">
        <f>IF(D70=0,0,IF(D75&lt;0,0,IF(AND(D114&gt;0,D54&lt;=400),0,IF(AND(D114&gt;0,Zusatzeingaben!D141=0),0,IF(AND(D61&gt;0,D120=Zusatzeingaben!D189,Zusatzeingaben!D189&gt;0),0,D75)))))</f>
        <v>0</v>
      </c>
      <c r="E76" s="1404">
        <f>IF(E70=0,0,IF(E75&lt;0,0,IF(AND(E114&gt;0,E54&lt;=400),0,IF(AND(E114&gt;0,Zusatzeingaben!E141=0),0,IF(AND(E61&gt;0,E120=Zusatzeingaben!E189,Zusatzeingaben!E189&gt;0),0,E75)))))</f>
        <v>0</v>
      </c>
      <c r="F76" s="1404">
        <f>IF(F70=0,0,IF(F75&lt;0,0,IF(AND(F114&gt;0,F54&lt;=400),0,IF(AND(F114&gt;0,Zusatzeingaben!F141=0),0,IF(AND(F61&gt;0,F120=Zusatzeingaben!F189,Zusatzeingaben!F189&gt;0),0,F75)))))</f>
        <v>0</v>
      </c>
      <c r="G76" s="1404">
        <f>IF(G70=0,0,IF(G75&lt;0,0,IF(AND(G114&gt;0,G54&lt;=400),0,IF(AND(G114&gt;0,Zusatzeingaben!G141=0),0,IF(AND(G61&gt;0,G120=Zusatzeingaben!G189,Zusatzeingaben!G189&gt;0),0,G75)))))</f>
        <v>0</v>
      </c>
      <c r="H76" s="1404">
        <f>IF(H70=0,0,IF(H75&lt;0,0,IF(AND(H114&gt;0,H54&lt;=400),0,IF(AND(H114&gt;0,Zusatzeingaben!H141=0),0,IF(AND(H61&gt;0,H120=Zusatzeingaben!H189,Zusatzeingaben!H189&gt;0),0,H75)))))</f>
        <v>0</v>
      </c>
      <c r="I76" s="1405">
        <f>IF(I70=0,0,IF(I75&lt;0,0,IF(AND(I114&gt;0,I54&lt;=400),0,IF(AND(I114&gt;0,Zusatzeingaben!I141=0),0,IF(AND(I61&gt;0,I120=Zusatzeingaben!I189,Zusatzeingaben!I189&gt;0),0,I75)))))</f>
        <v>0</v>
      </c>
      <c r="J76" s="1737"/>
    </row>
    <row r="77" spans="1:10" ht="17.25" hidden="1">
      <c r="A77" s="1318"/>
      <c r="B77" s="1392"/>
      <c r="C77" s="1400">
        <f>IF(AND(Zusatzeingaben!C161&gt;0,Zusatzeingaben!C164=Zusatzeingaben!C161),0,Zusatzeingaben!C204-Zusatzeingaben!C161)</f>
        <v>0</v>
      </c>
      <c r="D77" s="1400">
        <f>IF(AND(Zusatzeingaben!D161&gt;0,Zusatzeingaben!D164=Zusatzeingaben!D161),0,Zusatzeingaben!D204-Zusatzeingaben!D161)</f>
        <v>0</v>
      </c>
      <c r="E77" s="1400">
        <f>IF(AND(Zusatzeingaben!E161&gt;0,Zusatzeingaben!E164=Zusatzeingaben!E161),0,Zusatzeingaben!E204-Zusatzeingaben!E161)</f>
        <v>0</v>
      </c>
      <c r="F77" s="1400">
        <f>IF(AND(Zusatzeingaben!F161&gt;0,Zusatzeingaben!F164=Zusatzeingaben!F161),0,Zusatzeingaben!F204-Zusatzeingaben!F161)</f>
        <v>0</v>
      </c>
      <c r="G77" s="1400">
        <f>IF(AND(Zusatzeingaben!G161&gt;0,Zusatzeingaben!G164=Zusatzeingaben!G161),0,Zusatzeingaben!G204-Zusatzeingaben!G161)</f>
        <v>0</v>
      </c>
      <c r="H77" s="1400">
        <f>IF(AND(Zusatzeingaben!H161&gt;0,Zusatzeingaben!H164=Zusatzeingaben!H161),0,Zusatzeingaben!H204-Zusatzeingaben!H161)</f>
        <v>0</v>
      </c>
      <c r="I77" s="1401">
        <f>IF(AND(Zusatzeingaben!I161&gt;0,Zusatzeingaben!I164=Zusatzeingaben!I161),0,Zusatzeingaben!I204-Zusatzeingaben!I161)</f>
        <v>0</v>
      </c>
      <c r="J77" s="1737"/>
    </row>
    <row r="78" spans="1:10" ht="17.25" hidden="1">
      <c r="A78" s="1318"/>
      <c r="B78" s="1392"/>
      <c r="C78" s="1400">
        <f>IF(AND(C71&gt;0,C77&gt;Zusatzeingaben!C204),Zusatzeingaben!C204,C77)</f>
        <v>0</v>
      </c>
      <c r="D78" s="1400">
        <f>IF(AND(D71&gt;0,D77&gt;Zusatzeingaben!D204),Zusatzeingaben!D204,D77)</f>
        <v>0</v>
      </c>
      <c r="E78" s="1400">
        <f>IF(AND(E71&gt;0,E77&gt;Zusatzeingaben!E204),Zusatzeingaben!E204,E77)</f>
        <v>0</v>
      </c>
      <c r="F78" s="1400">
        <f>IF(AND(F71&gt;0,F77&gt;Zusatzeingaben!F204),Zusatzeingaben!F204,F77)</f>
        <v>0</v>
      </c>
      <c r="G78" s="1400">
        <f>IF(AND(G71&gt;0,G77&gt;Zusatzeingaben!G204),Zusatzeingaben!G204,G77)</f>
        <v>0</v>
      </c>
      <c r="H78" s="1400">
        <f>IF(AND(H71&gt;0,H77&gt;Zusatzeingaben!H204),Zusatzeingaben!H204,H77)</f>
        <v>0</v>
      </c>
      <c r="I78" s="1401">
        <f>IF(AND(I71&gt;0,I77&gt;Zusatzeingaben!I204),Zusatzeingaben!I204,I77)</f>
        <v>0</v>
      </c>
      <c r="J78" s="1737"/>
    </row>
    <row r="79" spans="1:10" ht="17.25" hidden="1">
      <c r="A79" s="1318"/>
      <c r="B79" s="1392"/>
      <c r="C79" s="1400">
        <f>IF(C113=0,Zusatzeingaben!C204,0)</f>
        <v>0</v>
      </c>
      <c r="D79" s="1400">
        <f>IF(D113=0,Zusatzeingaben!D204,0)</f>
        <v>0</v>
      </c>
      <c r="E79" s="1400">
        <f>IF(E113=0,Zusatzeingaben!E204,0)</f>
        <v>0</v>
      </c>
      <c r="F79" s="1400">
        <f>IF(F113=0,Zusatzeingaben!F204,0)</f>
        <v>0</v>
      </c>
      <c r="G79" s="1400">
        <f>IF(G113=0,Zusatzeingaben!G204,0)</f>
        <v>0</v>
      </c>
      <c r="H79" s="1400">
        <f>IF(H113=0,Zusatzeingaben!H204,0)</f>
        <v>0</v>
      </c>
      <c r="I79" s="1401">
        <f>IF(I113=0,Zusatzeingaben!I204,0)</f>
        <v>0</v>
      </c>
      <c r="J79" s="1737"/>
    </row>
    <row r="80" spans="1:10" ht="17.25" hidden="1">
      <c r="A80" s="1318"/>
      <c r="B80" s="1392"/>
      <c r="C80" s="1400">
        <f>IF(C79=Zusatzeingaben!C204,C79,C78)</f>
        <v>0</v>
      </c>
      <c r="D80" s="1400">
        <f>IF(D79=Zusatzeingaben!D204,D79,D78)</f>
        <v>0</v>
      </c>
      <c r="E80" s="1400">
        <f>IF(E79=Zusatzeingaben!E204,E79,E78)</f>
        <v>0</v>
      </c>
      <c r="F80" s="1400">
        <f>IF(F79=Zusatzeingaben!F204,F79,F78)</f>
        <v>0</v>
      </c>
      <c r="G80" s="1400">
        <f>IF(G79=Zusatzeingaben!G204,G79,G78)</f>
        <v>0</v>
      </c>
      <c r="H80" s="1400">
        <f>IF(H79=Zusatzeingaben!H204,H79,H78)</f>
        <v>0</v>
      </c>
      <c r="I80" s="1401">
        <f>IF(I79=Zusatzeingaben!I204,I79,I78)</f>
        <v>0</v>
      </c>
      <c r="J80" s="1737"/>
    </row>
    <row r="81" spans="1:11" ht="17.25" hidden="1">
      <c r="A81" s="1318"/>
      <c r="B81" s="1392"/>
      <c r="C81" s="1378">
        <f t="shared" ref="C81:I81" si="8">IF(OR(C80&lt;0,C70=0),0,C80)</f>
        <v>0</v>
      </c>
      <c r="D81" s="1378">
        <f t="shared" si="8"/>
        <v>0</v>
      </c>
      <c r="E81" s="1378">
        <f t="shared" si="8"/>
        <v>0</v>
      </c>
      <c r="F81" s="1378">
        <f t="shared" si="8"/>
        <v>0</v>
      </c>
      <c r="G81" s="1378">
        <f t="shared" si="8"/>
        <v>0</v>
      </c>
      <c r="H81" s="1378">
        <f t="shared" si="8"/>
        <v>0</v>
      </c>
      <c r="I81" s="1379">
        <f t="shared" si="8"/>
        <v>0</v>
      </c>
      <c r="J81" s="1737"/>
    </row>
    <row r="82" spans="1:11" ht="17.25">
      <c r="A82" s="1312">
        <f>IF(B82&gt;0,"./. Kfz-Haftpflichtversicherung",0)</f>
        <v>0</v>
      </c>
      <c r="B82" s="1392">
        <f>SUM(C82:I82)</f>
        <v>0</v>
      </c>
      <c r="C82" s="1378">
        <f>IF(AND(C114&gt;0,C54&lt;=400),0,IF(AND(C114&gt;0,Zusatzeingaben!C141=0),0,IF(AND(C120=Zusatzeingaben!C189,C61&gt;0,Zusatzeingaben!C189&gt;0),0,C81)))</f>
        <v>0</v>
      </c>
      <c r="D82" s="1378">
        <f>IF(AND(D114&gt;0,D54&lt;=400),0,IF(AND(D114&gt;0,Zusatzeingaben!D141=0),0,IF(AND(D120=Zusatzeingaben!D189,D61&gt;0,Zusatzeingaben!D189&gt;0),0,D81)))</f>
        <v>0</v>
      </c>
      <c r="E82" s="1378">
        <f>IF(AND(E114&gt;0,E54&lt;=400),0,IF(AND(E114&gt;0,Zusatzeingaben!E141=0),0,IF(AND(E120=Zusatzeingaben!E189,E61&gt;0,Zusatzeingaben!E189&gt;0),0,E81)))</f>
        <v>0</v>
      </c>
      <c r="F82" s="1378">
        <f>IF(AND(F114&gt;0,F54&lt;=400),0,IF(AND(F114&gt;0,Zusatzeingaben!F141=0),0,IF(AND(F120=Zusatzeingaben!F189,F61&gt;0,Zusatzeingaben!F189&gt;0),0,F81)))</f>
        <v>0</v>
      </c>
      <c r="G82" s="1378">
        <f>IF(AND(G114&gt;0,G54&lt;=400),0,IF(AND(G114&gt;0,Zusatzeingaben!G141=0),0,IF(AND(G120=Zusatzeingaben!G189,G61&gt;0,Zusatzeingaben!G189&gt;0),0,G81)))</f>
        <v>0</v>
      </c>
      <c r="H82" s="1378">
        <f>IF(AND(H114&gt;0,H54&lt;=400),0,IF(AND(H114&gt;0,Zusatzeingaben!H141=0),0,IF(AND(H120=Zusatzeingaben!H189,H61&gt;0,Zusatzeingaben!H189&gt;0),0,H81)))</f>
        <v>0</v>
      </c>
      <c r="I82" s="1379">
        <f>IF(AND(I114&gt;0,I54&lt;=400),0,IF(AND(I114&gt;0,Zusatzeingaben!I141=0),0,IF(AND(I120=Zusatzeingaben!I189,I61&gt;0,Zusatzeingaben!I189&gt;0),0,I81)))</f>
        <v>0</v>
      </c>
      <c r="J82" s="1737"/>
      <c r="K82" s="616"/>
    </row>
    <row r="83" spans="1:11" ht="18" hidden="1" customHeight="1">
      <c r="A83" s="1318"/>
      <c r="B83" s="1406"/>
      <c r="C83" s="1400">
        <f>IF(AND(Zusatzeingaben!C161&gt;0,Zusatzeingaben!C164=Zusatzeingaben!C161),0,Zusatzeingaben!C205+Zuschuss§26!C17+Zuschuss§26!C18+Zuschuss§26!C51+Zuschuss§26!C57)</f>
        <v>0</v>
      </c>
      <c r="D83" s="1400">
        <f>IF(AND(Zusatzeingaben!D161&gt;0,Zusatzeingaben!D164=Zusatzeingaben!D161),0,Zusatzeingaben!D205+Zuschuss§26!D17+Zuschuss§26!D18+Zuschuss§26!D51+Zuschuss§26!D57)</f>
        <v>0</v>
      </c>
      <c r="E83" s="1400">
        <f>IF(AND(Zusatzeingaben!E161&gt;0,Zusatzeingaben!E164=Zusatzeingaben!E161),0,Zusatzeingaben!E205+Zuschuss§26!E17+Zuschuss§26!E18+Zuschuss§26!E51+Zuschuss§26!E57)</f>
        <v>0</v>
      </c>
      <c r="F83" s="1400">
        <f>IF(AND(Zusatzeingaben!F161&gt;0,Zusatzeingaben!F164=Zusatzeingaben!F161),0,Zusatzeingaben!F205+Zuschuss§26!F17+Zuschuss§26!F18+Zuschuss§26!F51+Zuschuss§26!F57)</f>
        <v>0</v>
      </c>
      <c r="G83" s="1400">
        <f>IF(AND(Zusatzeingaben!G161&gt;0,Zusatzeingaben!G164=Zusatzeingaben!G161),0,Zusatzeingaben!G205+Zuschuss§26!G17+Zuschuss§26!G18+Zuschuss§26!G51+Zuschuss§26!G57)</f>
        <v>0</v>
      </c>
      <c r="H83" s="1400">
        <f>IF(AND(Zusatzeingaben!H161&gt;0,Zusatzeingaben!H164=Zusatzeingaben!H161),0,Zusatzeingaben!H205+Zuschuss§26!H17+Zuschuss§26!H18+Zuschuss§26!H51+Zuschuss§26!H57)</f>
        <v>0</v>
      </c>
      <c r="I83" s="1407">
        <f>IF(AND(Zusatzeingaben!I161&gt;0,Zusatzeingaben!I164=Zusatzeingaben!I161),0,Zusatzeingaben!I205+Zuschuss§26!I17+Zuschuss§26!I18+Zuschuss§26!I51+Zuschuss§26!I57)</f>
        <v>0</v>
      </c>
      <c r="J83" s="1737"/>
      <c r="K83" s="616"/>
    </row>
    <row r="84" spans="1:11" ht="18" hidden="1" customHeight="1">
      <c r="A84" s="1318"/>
      <c r="B84" s="1406"/>
      <c r="C84" s="1400">
        <f>IF(AND(Zusatzeingaben!C215&gt;C113,C78&lt;&gt;Zusatzeingaben!C204),C83,0)</f>
        <v>0</v>
      </c>
      <c r="D84" s="1400">
        <f>IF(AND(Zusatzeingaben!D215&gt;D113,D78&lt;&gt;Zusatzeingaben!D204),D83,0)</f>
        <v>0</v>
      </c>
      <c r="E84" s="1400">
        <f>IF(AND(Zusatzeingaben!E215&gt;E113,E78&lt;&gt;Zusatzeingaben!E204),E83,0)</f>
        <v>0</v>
      </c>
      <c r="F84" s="1400">
        <f>IF(AND(Zusatzeingaben!F215&gt;F113,F78&lt;&gt;Zusatzeingaben!F204),F83,0)</f>
        <v>0</v>
      </c>
      <c r="G84" s="1400">
        <f>IF(AND(Zusatzeingaben!G215&gt;G113,G78&lt;&gt;Zusatzeingaben!G204),G83,0)</f>
        <v>0</v>
      </c>
      <c r="H84" s="1400">
        <f>IF(AND(Zusatzeingaben!H215&gt;H113,H78&lt;&gt;Zusatzeingaben!H204),H83,0)</f>
        <v>0</v>
      </c>
      <c r="I84" s="1401">
        <f>IF(AND(Zusatzeingaben!I215&gt;I113,I78&lt;&gt;Zusatzeingaben!I204),I83,0)</f>
        <v>0</v>
      </c>
      <c r="J84" s="1737"/>
      <c r="K84" s="616"/>
    </row>
    <row r="85" spans="1:11" ht="18" hidden="1" customHeight="1">
      <c r="A85" s="1318"/>
      <c r="B85" s="1406"/>
      <c r="C85" s="1400">
        <f>IF(AND(Zuschuss§26!C27=0,C113=0),Zusatzeingaben!C205,IF(AND(C113=0,Zuschuss§26!C45=0,Zuschuss§26!C18&gt;0),Zusatzeingaben!C205+Zuschuss§26!C17+Zuschuss§26!C18,IF(AND(OR(Zuschuss§26!C51&gt;0,Zuschuss§26!C57&gt;0),C113=0),Zusatzeingaben!C205+Zuschuss§26!C51+Zuschuss§26!C57,0)))</f>
        <v>0</v>
      </c>
      <c r="D85" s="1400">
        <f>IF(AND(Zuschuss§26!D27=0,D113=0),Zusatzeingaben!D205,IF(AND(D113=0,Zuschuss§26!D45=0,Zuschuss§26!D18&gt;0),Zusatzeingaben!D205+Zuschuss§26!D17+Zuschuss§26!D18,IF(AND(OR(Zuschuss§26!D51&gt;0,Zuschuss§26!D57&gt;0),D113=0),Zusatzeingaben!D205+Zuschuss§26!D51+Zuschuss§26!D57,0)))</f>
        <v>0</v>
      </c>
      <c r="E85" s="1400">
        <f>IF(AND(Zuschuss§26!E27=0,E113=0),Zusatzeingaben!E205,IF(AND(E113=0,Zuschuss§26!E45=0,Zuschuss§26!E18&gt;0),Zusatzeingaben!E205+Zuschuss§26!E17+Zuschuss§26!E18,IF(AND(OR(Zuschuss§26!E51&gt;0,Zuschuss§26!E57&gt;0),E113=0),Zusatzeingaben!E205+Zuschuss§26!E51+Zuschuss§26!E57,0)))</f>
        <v>0</v>
      </c>
      <c r="F85" s="1400">
        <f>IF(AND(Zuschuss§26!F27=0,F113=0),Zusatzeingaben!F205,IF(AND(F113=0,Zuschuss§26!F45=0,Zuschuss§26!F18&gt;0),Zusatzeingaben!F205+Zuschuss§26!F17+Zuschuss§26!F18,IF(AND(OR(Zuschuss§26!F51&gt;0,Zuschuss§26!F57&gt;0),F113=0),Zusatzeingaben!F205+Zuschuss§26!F51+Zuschuss§26!F57,0)))</f>
        <v>0</v>
      </c>
      <c r="G85" s="1400">
        <f>IF(AND(Zuschuss§26!G27=0,G113=0),Zusatzeingaben!G205,IF(AND(G113=0,Zuschuss§26!G45=0,Zuschuss§26!G18&gt;0),Zusatzeingaben!G205+Zuschuss§26!G17+Zuschuss§26!G18,IF(AND(OR(Zuschuss§26!G51&gt;0,Zuschuss§26!G57&gt;0),G113=0),Zusatzeingaben!G205+Zuschuss§26!G51+Zuschuss§26!G57,0)))</f>
        <v>0</v>
      </c>
      <c r="H85" s="1400">
        <f>IF(AND(Zuschuss§26!H27=0,H113=0),Zusatzeingaben!H205,IF(AND(H113=0,Zuschuss§26!H45=0,Zuschuss§26!H18&gt;0),Zusatzeingaben!H205+Zuschuss§26!H17+Zuschuss§26!H18,IF(AND(OR(Zuschuss§26!H51&gt;0,Zuschuss§26!H57&gt;0),H113=0),Zusatzeingaben!H205+Zuschuss§26!H51+Zuschuss§26!H57,0)))</f>
        <v>0</v>
      </c>
      <c r="I85" s="1407">
        <f>IF(AND(Zuschuss§26!I27=0,I113=0),Zusatzeingaben!I205,IF(AND(I113=0,Zuschuss§26!I45=0,Zuschuss§26!I18&gt;0),Zusatzeingaben!I205+Zuschuss§26!I17+Zuschuss§26!I18,IF(AND(OR(Zuschuss§26!I51&gt;0,Zuschuss§26!I57&gt;0),I113=0),Zusatzeingaben!I205+Zuschuss§26!I51+Zuschuss§26!I57,0)))</f>
        <v>0</v>
      </c>
      <c r="J85" s="1737"/>
      <c r="K85" s="616"/>
    </row>
    <row r="86" spans="1:11" ht="18" hidden="1" customHeight="1">
      <c r="A86" s="1318"/>
      <c r="B86" s="1406"/>
      <c r="C86" s="1400">
        <f>IF(C85=Zusatzeingaben!C205+Zuschuss§26!C17+Zuschuss§26!C18+Zuschuss§26!C51+Zuschuss§26!C57,C85,C84)</f>
        <v>0</v>
      </c>
      <c r="D86" s="1400">
        <f>IF(D85=Zusatzeingaben!D205+Zuschuss§26!D17+Zuschuss§26!D18+Zuschuss§26!D51+Zuschuss§26!D57,D85,D84)</f>
        <v>0</v>
      </c>
      <c r="E86" s="1400">
        <f>IF(E85=Zusatzeingaben!E205+Zuschuss§26!E17+Zuschuss§26!E18+Zuschuss§26!E51+Zuschuss§26!E57,E85,E84)</f>
        <v>0</v>
      </c>
      <c r="F86" s="1400">
        <f>IF(F85=Zusatzeingaben!F205+Zuschuss§26!F17+Zuschuss§26!F18+Zuschuss§26!F51+Zuschuss§26!F57,F85,F84)</f>
        <v>0</v>
      </c>
      <c r="G86" s="1400">
        <f>IF(G85=Zusatzeingaben!G205+Zuschuss§26!G17+Zuschuss§26!G18+Zuschuss§26!G51+Zuschuss§26!G57,G85,G84)</f>
        <v>0</v>
      </c>
      <c r="H86" s="1400">
        <f>IF(H85=Zusatzeingaben!H205+Zuschuss§26!H17+Zuschuss§26!H18+Zuschuss§26!H51+Zuschuss§26!H57,H85,H84)</f>
        <v>0</v>
      </c>
      <c r="I86" s="1407">
        <f>IF(I85=Zusatzeingaben!I205+Zuschuss§26!I17+Zuschuss§26!I18+Zuschuss§26!I51+Zuschuss§26!I57,I85,I84)</f>
        <v>0</v>
      </c>
      <c r="J86" s="1737"/>
    </row>
    <row r="87" spans="1:11" ht="18" customHeight="1">
      <c r="A87" s="1312">
        <f>IF(B87&gt;0,"./. Beiträge Krankheit/ Alter/ ZVK",0)</f>
        <v>0</v>
      </c>
      <c r="B87" s="1406">
        <f>SUM(C87:I87)</f>
        <v>0</v>
      </c>
      <c r="C87" s="1378">
        <f>IF(C70=0,0,IF(AND(C114&gt;0,C54&lt;=400),0,IF(AND(C114&gt;0,Zusatzeingaben!C141=0),0,IF(AND(C120=Zusatzeingaben!C189,C61&gt;0,Zusatzeingaben!C189&gt;0),0,C86))))</f>
        <v>0</v>
      </c>
      <c r="D87" s="1378">
        <f>IF(D70=0,0,IF(AND(D114&gt;0,D54&lt;=400),0,IF(AND(D114&gt;0,Zusatzeingaben!D141=0),0,IF(AND(D120=Zusatzeingaben!D189,D61&gt;0,Zusatzeingaben!D189&gt;0),0,D86))))</f>
        <v>0</v>
      </c>
      <c r="E87" s="1378">
        <f>IF(E70=0,0,IF(AND(E114&gt;0,E54&lt;=400),0,IF(AND(E114&gt;0,Zusatzeingaben!E141=0),0,IF(AND(E120=Zusatzeingaben!E189,E61&gt;0,Zusatzeingaben!E189&gt;0),0,E86))))</f>
        <v>0</v>
      </c>
      <c r="F87" s="1378">
        <f>IF(F70=0,0,IF(AND(F114&gt;0,F54&lt;=400),0,IF(AND(F114&gt;0,Zusatzeingaben!F141=0),0,IF(AND(F120=Zusatzeingaben!F189,F61&gt;0,Zusatzeingaben!F189&gt;0),0,F86))))</f>
        <v>0</v>
      </c>
      <c r="G87" s="1378">
        <f>IF(G70=0,0,IF(AND(G114&gt;0,G54&lt;=400),0,IF(AND(G114&gt;0,Zusatzeingaben!G141=0),0,IF(AND(G120=Zusatzeingaben!G189,G61&gt;0,Zusatzeingaben!G189&gt;0),0,G86))))</f>
        <v>0</v>
      </c>
      <c r="H87" s="1378">
        <f>IF(H70=0,0,IF(AND(H114&gt;0,H54&lt;=400),0,IF(AND(H114&gt;0,Zusatzeingaben!H141=0),0,IF(AND(H120=Zusatzeingaben!H189,H61&gt;0,Zusatzeingaben!H189&gt;0),0,H86))))</f>
        <v>0</v>
      </c>
      <c r="I87" s="1379">
        <f>IF(I70=0,0,IF(AND(I114&gt;0,I54&lt;=400),0,IF(AND(I114&gt;0,Zusatzeingaben!I141=0),0,IF(AND(I120=Zusatzeingaben!I189,I61&gt;0,Zusatzeingaben!I189&gt;0),0,I86))))</f>
        <v>0</v>
      </c>
      <c r="J87" s="1737"/>
    </row>
    <row r="88" spans="1:11" ht="16.5" hidden="1" customHeight="1">
      <c r="A88" s="1318"/>
      <c r="B88" s="1406"/>
      <c r="C88" s="1400">
        <f>IF(AND(Zusatzeingaben!C161&gt;0,Zusatzeingaben!C164=Zusatzeingaben!C161),0,Zusatzeingaben!C213)</f>
        <v>0</v>
      </c>
      <c r="D88" s="1400">
        <f>IF(AND(Zusatzeingaben!D161&gt;0,Zusatzeingaben!D164=Zusatzeingaben!D161),0,Zusatzeingaben!D213)</f>
        <v>0</v>
      </c>
      <c r="E88" s="1400">
        <f>IF(AND(Zusatzeingaben!E161&gt;0,Zusatzeingaben!E164=Zusatzeingaben!E161),0,Zusatzeingaben!E213)</f>
        <v>0</v>
      </c>
      <c r="F88" s="1400">
        <f>IF(AND(Zusatzeingaben!F161&gt;0,Zusatzeingaben!F164=Zusatzeingaben!F161),0,Zusatzeingaben!F213)</f>
        <v>0</v>
      </c>
      <c r="G88" s="1400">
        <f>IF(AND(Zusatzeingaben!G161&gt;0,Zusatzeingaben!G164=Zusatzeingaben!G161),0,Zusatzeingaben!G213)</f>
        <v>0</v>
      </c>
      <c r="H88" s="1400">
        <f>IF(AND(Zusatzeingaben!H161&gt;0,Zusatzeingaben!H164=Zusatzeingaben!H161),0,Zusatzeingaben!H213)</f>
        <v>0</v>
      </c>
      <c r="I88" s="1401">
        <f>IF(AND(Zusatzeingaben!I161&gt;0,Zusatzeingaben!I164=Zusatzeingaben!I161),0,Zusatzeingaben!I213)</f>
        <v>0</v>
      </c>
      <c r="J88" s="1737"/>
    </row>
    <row r="89" spans="1:11" ht="16.5" hidden="1" customHeight="1">
      <c r="A89" s="1318"/>
      <c r="B89" s="1406"/>
      <c r="C89" s="1400">
        <f>IF(AND(Zusatzeingaben!C215&gt;C113,C78&lt;&gt;Zusatzeingaben!C204),C88,0)</f>
        <v>0</v>
      </c>
      <c r="D89" s="1400">
        <f>IF(AND(Zusatzeingaben!D215&gt;D113,D78&lt;&gt;Zusatzeingaben!D204),D88,0)</f>
        <v>0</v>
      </c>
      <c r="E89" s="1400">
        <f>IF(AND(Zusatzeingaben!E215&gt;E113,E78&lt;&gt;Zusatzeingaben!E204),E88,0)</f>
        <v>0</v>
      </c>
      <c r="F89" s="1400">
        <f>IF(AND(Zusatzeingaben!F215&gt;F113,F78&lt;&gt;Zusatzeingaben!F204),F88,0)</f>
        <v>0</v>
      </c>
      <c r="G89" s="1400">
        <f>IF(AND(Zusatzeingaben!G215&gt;G113,G78&lt;&gt;Zusatzeingaben!G204),G88,0)</f>
        <v>0</v>
      </c>
      <c r="H89" s="1400">
        <f>IF(AND(Zusatzeingaben!H215&gt;H113,H78&lt;&gt;Zusatzeingaben!H204),H88,0)</f>
        <v>0</v>
      </c>
      <c r="I89" s="1401">
        <f>IF(AND(Zusatzeingaben!I215&gt;I113,I78&lt;&gt;Zusatzeingaben!I204),I88,0)</f>
        <v>0</v>
      </c>
      <c r="J89" s="1737"/>
    </row>
    <row r="90" spans="1:11" ht="16.5" hidden="1" customHeight="1">
      <c r="A90" s="1318"/>
      <c r="B90" s="1406"/>
      <c r="C90" s="1400">
        <f>IF(C113=0,Zusatzeingaben!C212,0)</f>
        <v>0</v>
      </c>
      <c r="D90" s="1400">
        <f>IF(D113=0,Eingabetabelle!D218,0)</f>
        <v>0</v>
      </c>
      <c r="E90" s="1400">
        <f>IF(E113=0,Eingabetabelle!E218,0)</f>
        <v>0</v>
      </c>
      <c r="F90" s="1400">
        <f>IF(F113=0,Eingabetabelle!F218,0)</f>
        <v>0</v>
      </c>
      <c r="G90" s="1400">
        <f>IF(G113=0,Eingabetabelle!G218,0)</f>
        <v>0</v>
      </c>
      <c r="H90" s="1400">
        <f>IF(H113=0,Eingabetabelle!H218,0)</f>
        <v>0</v>
      </c>
      <c r="I90" s="1400">
        <f>IF(I113=0,Eingabetabelle!I218,0)</f>
        <v>0</v>
      </c>
      <c r="J90" s="1737"/>
    </row>
    <row r="91" spans="1:11" ht="16.5" hidden="1" customHeight="1">
      <c r="A91" s="1318"/>
      <c r="B91" s="1406"/>
      <c r="C91" s="1400">
        <f>IF(C90=Zusatzeingaben!C212,C90,C89)</f>
        <v>0</v>
      </c>
      <c r="D91" s="1400">
        <f>IF(D90=Eingabetabelle!D218,D90,D89)</f>
        <v>0</v>
      </c>
      <c r="E91" s="1400">
        <f>IF(E90=Eingabetabelle!E218,E90,E89)</f>
        <v>0</v>
      </c>
      <c r="F91" s="1400">
        <f>IF(F90=Eingabetabelle!F218,F90,F89)</f>
        <v>0</v>
      </c>
      <c r="G91" s="1400">
        <f>IF(G90=Eingabetabelle!G218,G90,G89)</f>
        <v>0</v>
      </c>
      <c r="H91" s="1400">
        <f>IF(H90=Eingabetabelle!H218,H90,H89)</f>
        <v>0</v>
      </c>
      <c r="I91" s="1400">
        <f>IF(I90=Eingabetabelle!I218,I90,I89)</f>
        <v>0</v>
      </c>
      <c r="J91" s="1737"/>
    </row>
    <row r="92" spans="1:11" ht="17.25" hidden="1">
      <c r="A92" s="1312">
        <f>IF(B92&gt;0,"./. Beiträge Riester-Rente",0)</f>
        <v>0</v>
      </c>
      <c r="B92" s="1406">
        <f>SUM(C92:I92)</f>
        <v>0</v>
      </c>
      <c r="C92" s="1378">
        <f>IF(C70=0,0,IF(AND(C114&gt;0,C54&lt;=400),0,IF(AND(C114&gt;0,Eingabetabelle!C145=0),0,IF(AND(C120=Eingabetabelle!C195,C61&gt;0,Eingabetabelle!C195&gt;0),0,C91))))</f>
        <v>0</v>
      </c>
      <c r="D92" s="1378">
        <f>IF(D70=0,0,IF(AND(D114&gt;0,D54&lt;=400),0,IF(AND(D114&gt;0,Eingabetabelle!D145=0),0,IF(AND(D120=Eingabetabelle!D195,D61&gt;0,Eingabetabelle!D195&gt;0),0,D91))))</f>
        <v>0</v>
      </c>
      <c r="E92" s="1378">
        <f>IF(E70=0,0,IF(AND(E114&gt;0,E54&lt;=400),0,IF(AND(E114&gt;0,Eingabetabelle!E145=0),0,IF(AND(E120=Eingabetabelle!E195,E61&gt;0,Eingabetabelle!E195&gt;0),0,E91))))</f>
        <v>0</v>
      </c>
      <c r="F92" s="1378">
        <f>IF(F70=0,0,IF(AND(F114&gt;0,F54&lt;=400),0,IF(AND(F114&gt;0,Eingabetabelle!F145=0),0,IF(AND(F120=Eingabetabelle!F195,F61&gt;0,Eingabetabelle!F195&gt;0),0,F91))))</f>
        <v>0</v>
      </c>
      <c r="G92" s="1378">
        <f>IF(G70=0,0,IF(AND(G114&gt;0,G54&lt;=400),0,IF(AND(G114&gt;0,Eingabetabelle!G145=0),0,IF(AND(G120=Eingabetabelle!G195,G61&gt;0,Eingabetabelle!G195&gt;0),0,G91))))</f>
        <v>0</v>
      </c>
      <c r="H92" s="1378">
        <f>IF(H70=0,0,IF(AND(H114&gt;0,H54&lt;=400),0,IF(AND(H114&gt;0,Eingabetabelle!H145=0),0,IF(AND(H120=Eingabetabelle!H195,H61&gt;0,Eingabetabelle!H195&gt;0),0,H91))))</f>
        <v>0</v>
      </c>
      <c r="I92" s="1378">
        <f>IF(I70=0,0,IF(AND(I114&gt;0,I54&lt;=400),0,IF(AND(I114&gt;0,Eingabetabelle!I145=0),0,IF(AND(I120=Eingabetabelle!I195,I61&gt;0,Eingabetabelle!I195&gt;0),0,I91))))</f>
        <v>0</v>
      </c>
      <c r="J92" s="1737"/>
    </row>
    <row r="93" spans="1:11" ht="17.25" hidden="1">
      <c r="A93" s="1312"/>
      <c r="B93" s="1406"/>
      <c r="C93" s="1400">
        <f>IF(AND(Zusatzeingaben!C161&gt;0,Zusatzeingaben!C164=Zusatzeingaben!C161),0,Zusatzeingaben!C127)</f>
        <v>0</v>
      </c>
      <c r="D93" s="1400">
        <f>IF(AND(Zusatzeingaben!D161&gt;0,Zusatzeingaben!D164=Zusatzeingaben!D161),0,Zusatzeingaben!D127)</f>
        <v>0</v>
      </c>
      <c r="E93" s="1400">
        <f>IF(AND(Zusatzeingaben!E161&gt;0,Zusatzeingaben!E164=Zusatzeingaben!E161),0,Zusatzeingaben!E127)</f>
        <v>0</v>
      </c>
      <c r="F93" s="1400">
        <f>IF(AND(Zusatzeingaben!F161&gt;0,Zusatzeingaben!F164=Zusatzeingaben!F161),0,Zusatzeingaben!F127)</f>
        <v>0</v>
      </c>
      <c r="G93" s="1400">
        <f>IF(AND(Zusatzeingaben!G161&gt;0,Zusatzeingaben!G164=Zusatzeingaben!G161),0,Zusatzeingaben!G127)</f>
        <v>0</v>
      </c>
      <c r="H93" s="1400">
        <f>IF(AND(Zusatzeingaben!H161&gt;0,Zusatzeingaben!H164=Zusatzeingaben!H161),0,Zusatzeingaben!H127)</f>
        <v>0</v>
      </c>
      <c r="I93" s="1401">
        <f>IF(AND(Zusatzeingaben!I161&gt;0,Zusatzeingaben!I164=Zusatzeingaben!I161),0,Zusatzeingaben!I127)</f>
        <v>0</v>
      </c>
      <c r="J93" s="1737"/>
    </row>
    <row r="94" spans="1:11" ht="17.25" hidden="1">
      <c r="A94" s="1327"/>
      <c r="B94" s="1406"/>
      <c r="C94" s="1400">
        <f>IF(AND(Zusatzeingaben!C215&gt;C113,C78&lt;&gt;Zusatzeingaben!C127),C93,0)</f>
        <v>0</v>
      </c>
      <c r="D94" s="1400">
        <f>IF(AND(Zusatzeingaben!D215&gt;D113,D78&lt;&gt;Zusatzeingaben!D127),D93,0)</f>
        <v>0</v>
      </c>
      <c r="E94" s="1400">
        <f>IF(AND(Zusatzeingaben!E215&gt;E113,E78&lt;&gt;Zusatzeingaben!E127),E93,0)</f>
        <v>0</v>
      </c>
      <c r="F94" s="1400">
        <f>IF(AND(Zusatzeingaben!F215&gt;F113,F78&lt;&gt;Zusatzeingaben!F127),F93,0)</f>
        <v>0</v>
      </c>
      <c r="G94" s="1400">
        <f>IF(AND(Zusatzeingaben!G215&gt;G113,G78&lt;&gt;Zusatzeingaben!G127),G93,0)</f>
        <v>0</v>
      </c>
      <c r="H94" s="1400">
        <f>IF(AND(Zusatzeingaben!H215&gt;H113,H78&lt;&gt;Zusatzeingaben!H127),H93,0)</f>
        <v>0</v>
      </c>
      <c r="I94" s="1401">
        <f>IF(AND(Zusatzeingaben!I215&gt;I113,I78&lt;&gt;Zusatzeingaben!I127),I93,0)</f>
        <v>0</v>
      </c>
      <c r="J94" s="1737"/>
    </row>
    <row r="95" spans="1:11" ht="17.25" hidden="1">
      <c r="A95" s="1312"/>
      <c r="B95" s="1406"/>
      <c r="C95" s="1400">
        <f>IF(C113=0,Zusatzeingaben!C127,0)</f>
        <v>0</v>
      </c>
      <c r="D95" s="1400">
        <f>IF(D113=0,Zusatzeingaben!D127,0)</f>
        <v>0</v>
      </c>
      <c r="E95" s="1400">
        <f>IF(E113=0,Zusatzeingaben!E127,0)</f>
        <v>0</v>
      </c>
      <c r="F95" s="1400">
        <f>IF(F113=0,Zusatzeingaben!F127,0)</f>
        <v>0</v>
      </c>
      <c r="G95" s="1400">
        <f>IF(G113=0,Zusatzeingaben!G127,0)</f>
        <v>0</v>
      </c>
      <c r="H95" s="1400">
        <f>IF(H113=0,Zusatzeingaben!H127,0)</f>
        <v>0</v>
      </c>
      <c r="I95" s="1401">
        <f>IF(I113=0,Zusatzeingaben!I127,0)</f>
        <v>0</v>
      </c>
      <c r="J95" s="1737"/>
    </row>
    <row r="96" spans="1:11" ht="17.25" hidden="1">
      <c r="A96" s="1312"/>
      <c r="B96" s="1406"/>
      <c r="C96" s="1400">
        <f>IF(C95=Zusatzeingaben!C127,C95,C94)</f>
        <v>0</v>
      </c>
      <c r="D96" s="1400">
        <f>IF(D95=Zusatzeingaben!D127,D95,D94)</f>
        <v>0</v>
      </c>
      <c r="E96" s="1400">
        <f>IF(E95=Zusatzeingaben!E127,E95,E94)</f>
        <v>0</v>
      </c>
      <c r="F96" s="1400">
        <f>IF(F95=Zusatzeingaben!F127,F95,F94)</f>
        <v>0</v>
      </c>
      <c r="G96" s="1400">
        <f>IF(G95=Zusatzeingaben!G127,G95,G94)</f>
        <v>0</v>
      </c>
      <c r="H96" s="1400">
        <f>IF(H95=Zusatzeingaben!H127,H95,H94)</f>
        <v>0</v>
      </c>
      <c r="I96" s="1401">
        <f>IF(I95=Zusatzeingaben!I127,I95,I94)</f>
        <v>0</v>
      </c>
      <c r="J96" s="1737"/>
    </row>
    <row r="97" spans="1:10" ht="17.25" hidden="1">
      <c r="A97" s="1327"/>
      <c r="B97" s="1406"/>
      <c r="C97" s="1400">
        <f>IF(Zusatzeingaben!C140=0,0,C96)</f>
        <v>0</v>
      </c>
      <c r="D97" s="1400">
        <f>IF(Zusatzeingaben!D140=0,0,D96)</f>
        <v>0</v>
      </c>
      <c r="E97" s="1400">
        <f>IF(Zusatzeingaben!E140=0,0,E96)</f>
        <v>0</v>
      </c>
      <c r="F97" s="1400">
        <f>IF(Zusatzeingaben!F140=0,0,F96)</f>
        <v>0</v>
      </c>
      <c r="G97" s="1400">
        <f>IF(Zusatzeingaben!G140=0,0,G96)</f>
        <v>0</v>
      </c>
      <c r="H97" s="1400">
        <f>IF(Zusatzeingaben!H140=0,0,H96)</f>
        <v>0</v>
      </c>
      <c r="I97" s="1401">
        <f>IF(Zusatzeingaben!I140=0,0,I96)</f>
        <v>0</v>
      </c>
      <c r="J97" s="1737"/>
    </row>
    <row r="98" spans="1:10" ht="17.25">
      <c r="A98" s="1312">
        <f>IF(B98&gt;0,"./. Fahrtkosten",0)</f>
        <v>0</v>
      </c>
      <c r="B98" s="1392">
        <f>SUM(C98:I98)</f>
        <v>0</v>
      </c>
      <c r="C98" s="1378">
        <f t="shared" ref="C98:I98" si="9">IF(AND(C114&gt;0,C54&lt;=400),0,IF(C75&lt;0,C97+C75,IF(C70=0,0,C97)))</f>
        <v>0</v>
      </c>
      <c r="D98" s="1378">
        <f t="shared" si="9"/>
        <v>0</v>
      </c>
      <c r="E98" s="1378">
        <f t="shared" si="9"/>
        <v>0</v>
      </c>
      <c r="F98" s="1378">
        <f t="shared" si="9"/>
        <v>0</v>
      </c>
      <c r="G98" s="1378">
        <f t="shared" si="9"/>
        <v>0</v>
      </c>
      <c r="H98" s="1378">
        <f t="shared" si="9"/>
        <v>0</v>
      </c>
      <c r="I98" s="1379">
        <f t="shared" si="9"/>
        <v>0</v>
      </c>
      <c r="J98" s="1737"/>
    </row>
    <row r="99" spans="1:10" ht="17.25" hidden="1">
      <c r="A99" s="1312"/>
      <c r="B99" s="1392"/>
      <c r="C99" s="1400">
        <f>IF(AND(Zusatzeingaben!C161&gt;0,Zusatzeingaben!C164=Zusatzeingaben!C161),0,Zusatzeingaben!C124)</f>
        <v>0</v>
      </c>
      <c r="D99" s="1400">
        <f>IF(AND(Zusatzeingaben!D161&gt;0,Zusatzeingaben!D164=Zusatzeingaben!D161),0,Zusatzeingaben!D124)</f>
        <v>0</v>
      </c>
      <c r="E99" s="1400">
        <f>IF(AND(Zusatzeingaben!E161&gt;0,Zusatzeingaben!E164=Zusatzeingaben!E161),0,Zusatzeingaben!E124)</f>
        <v>0</v>
      </c>
      <c r="F99" s="1400">
        <f>IF(AND(Zusatzeingaben!F161&gt;0,Zusatzeingaben!F164=Zusatzeingaben!F161),0,Zusatzeingaben!F124)</f>
        <v>0</v>
      </c>
      <c r="G99" s="1400">
        <f>IF(AND(Zusatzeingaben!G161&gt;0,Zusatzeingaben!G164=Zusatzeingaben!G161),0,Zusatzeingaben!G124)</f>
        <v>0</v>
      </c>
      <c r="H99" s="1400">
        <f>IF(AND(Zusatzeingaben!H161&gt;0,Zusatzeingaben!H164=Zusatzeingaben!H161),0,Zusatzeingaben!H124)</f>
        <v>0</v>
      </c>
      <c r="I99" s="1401">
        <f>IF(AND(Zusatzeingaben!I161&gt;0,Zusatzeingaben!I164=Zusatzeingaben!I161),0,Zusatzeingaben!I124)</f>
        <v>0</v>
      </c>
      <c r="J99" s="1737"/>
    </row>
    <row r="100" spans="1:10" ht="17.25" hidden="1">
      <c r="A100" s="1327"/>
      <c r="B100" s="1392"/>
      <c r="C100" s="1400">
        <f>IF(AND(Zusatzeingaben!C215&gt;C113,C78&lt;&gt;Zusatzeingaben!C124),C99,0)</f>
        <v>0</v>
      </c>
      <c r="D100" s="1400">
        <f>IF(AND(Zusatzeingaben!D215&gt;D113,D78&lt;&gt;Zusatzeingaben!D124),D99,0)</f>
        <v>0</v>
      </c>
      <c r="E100" s="1400">
        <f>IF(AND(Zusatzeingaben!E215&gt;E113,E78&lt;&gt;Zusatzeingaben!E124),E99,0)</f>
        <v>0</v>
      </c>
      <c r="F100" s="1400">
        <f>IF(AND(Zusatzeingaben!F215&gt;F113,F78&lt;&gt;Zusatzeingaben!F124),F99,0)</f>
        <v>0</v>
      </c>
      <c r="G100" s="1400">
        <f>IF(AND(Zusatzeingaben!G215&gt;G113,G78&lt;&gt;Zusatzeingaben!G124),G99,0)</f>
        <v>0</v>
      </c>
      <c r="H100" s="1400">
        <f>IF(AND(Zusatzeingaben!H215&gt;H113,H78&lt;&gt;Zusatzeingaben!H124),H99,0)</f>
        <v>0</v>
      </c>
      <c r="I100" s="1401">
        <f>IF(AND(Zusatzeingaben!I215&gt;I113,I78&lt;&gt;Zusatzeingaben!I124),I99,0)</f>
        <v>0</v>
      </c>
      <c r="J100" s="1737"/>
    </row>
    <row r="101" spans="1:10" ht="17.25" hidden="1">
      <c r="A101" s="1312"/>
      <c r="B101" s="1392"/>
      <c r="C101" s="1400">
        <f>IF(C113=0,Zusatzeingaben!C124,0)</f>
        <v>0</v>
      </c>
      <c r="D101" s="1400">
        <f>IF(D113=0,Zusatzeingaben!D124,0)</f>
        <v>0</v>
      </c>
      <c r="E101" s="1400">
        <f>IF(E113=0,Zusatzeingaben!E124,0)</f>
        <v>0</v>
      </c>
      <c r="F101" s="1400">
        <f>IF(F113=0,Zusatzeingaben!F124,0)</f>
        <v>0</v>
      </c>
      <c r="G101" s="1400">
        <f>IF(G113=0,Zusatzeingaben!G124,0)</f>
        <v>0</v>
      </c>
      <c r="H101" s="1400">
        <f>IF(H113=0,Zusatzeingaben!H124,0)</f>
        <v>0</v>
      </c>
      <c r="I101" s="1401">
        <f>IF(I113=0,Zusatzeingaben!I124,0)</f>
        <v>0</v>
      </c>
      <c r="J101" s="1737"/>
    </row>
    <row r="102" spans="1:10" ht="17.25" hidden="1">
      <c r="A102" s="1312"/>
      <c r="B102" s="1392"/>
      <c r="C102" s="1400">
        <f>IF(C101=Zusatzeingaben!C124,C101,C99)</f>
        <v>0</v>
      </c>
      <c r="D102" s="1400">
        <f>IF(D101=Zusatzeingaben!D124,D101,D99)</f>
        <v>0</v>
      </c>
      <c r="E102" s="1400">
        <f>IF(E101=Zusatzeingaben!E124,E101,E99)</f>
        <v>0</v>
      </c>
      <c r="F102" s="1400">
        <f>IF(F101=Zusatzeingaben!F124,F101,F99)</f>
        <v>0</v>
      </c>
      <c r="G102" s="1400">
        <f>IF(G101=Zusatzeingaben!G124,G101,G99)</f>
        <v>0</v>
      </c>
      <c r="H102" s="1400">
        <f>IF(H101=Zusatzeingaben!H124,H101,H99)</f>
        <v>0</v>
      </c>
      <c r="I102" s="1401">
        <f>IF(I101=Zusatzeingaben!I124,I101,I99)</f>
        <v>0</v>
      </c>
      <c r="J102" s="1737"/>
    </row>
    <row r="103" spans="1:10" ht="17.25" hidden="1">
      <c r="A103" s="1327"/>
      <c r="B103" s="1392"/>
      <c r="C103" s="1400">
        <f>IF(Zusatzeingaben!C140=0,0,C102)</f>
        <v>0</v>
      </c>
      <c r="D103" s="1400">
        <f>IF(Zusatzeingaben!D140=0,0,D102)</f>
        <v>0</v>
      </c>
      <c r="E103" s="1400">
        <f>IF(Zusatzeingaben!E140=0,0,E102)</f>
        <v>0</v>
      </c>
      <c r="F103" s="1400">
        <f>IF(Zusatzeingaben!F140=0,0,F102)</f>
        <v>0</v>
      </c>
      <c r="G103" s="1400">
        <f>IF(Zusatzeingaben!G140=0,0,G102)</f>
        <v>0</v>
      </c>
      <c r="H103" s="1400">
        <f>IF(Zusatzeingaben!H140=0,0,H102)</f>
        <v>0</v>
      </c>
      <c r="I103" s="1401">
        <f>IF(Zusatzeingaben!I140=0,0,I102)</f>
        <v>0</v>
      </c>
      <c r="J103" s="1737"/>
    </row>
    <row r="104" spans="1:10" ht="17.25">
      <c r="A104" s="1312">
        <f>IF(B104&gt;0,"./. Verpflegungsmehraufwand",0)</f>
        <v>0</v>
      </c>
      <c r="B104" s="1392">
        <f>SUM(C104:I104)</f>
        <v>0</v>
      </c>
      <c r="C104" s="1408">
        <f t="shared" ref="C104:I104" si="10">IF(AND(C114&gt;0,C54&lt;=400),0,IF(C70=0,0,C103))</f>
        <v>0</v>
      </c>
      <c r="D104" s="1408">
        <f t="shared" si="10"/>
        <v>0</v>
      </c>
      <c r="E104" s="1408">
        <f t="shared" si="10"/>
        <v>0</v>
      </c>
      <c r="F104" s="1408">
        <f t="shared" si="10"/>
        <v>0</v>
      </c>
      <c r="G104" s="1408">
        <f t="shared" si="10"/>
        <v>0</v>
      </c>
      <c r="H104" s="1408">
        <f t="shared" si="10"/>
        <v>0</v>
      </c>
      <c r="I104" s="1409">
        <f t="shared" si="10"/>
        <v>0</v>
      </c>
      <c r="J104" s="1737"/>
    </row>
    <row r="105" spans="1:10" ht="17.25" hidden="1">
      <c r="A105" s="1312"/>
      <c r="B105" s="1392"/>
      <c r="C105" s="1400">
        <f>IF(AND(Zusatzeingaben!C161&gt;0,Zusatzeingaben!C164=Zusatzeingaben!C161),0,Zusatzeingaben!C149)</f>
        <v>0</v>
      </c>
      <c r="D105" s="1400">
        <f>IF(AND(Zusatzeingaben!D161&gt;0,Zusatzeingaben!D164=Zusatzeingaben!D161),0,Zusatzeingaben!D149)</f>
        <v>0</v>
      </c>
      <c r="E105" s="1400">
        <f>IF(AND(Zusatzeingaben!E161&gt;0,Zusatzeingaben!E164=Zusatzeingaben!E161),0,Zusatzeingaben!E149)</f>
        <v>0</v>
      </c>
      <c r="F105" s="1400">
        <f>IF(AND(Zusatzeingaben!F161&gt;0,Zusatzeingaben!F164=Zusatzeingaben!F161),0,Zusatzeingaben!F149)</f>
        <v>0</v>
      </c>
      <c r="G105" s="1400">
        <f>IF(AND(Zusatzeingaben!G161&gt;0,Zusatzeingaben!G164=Zusatzeingaben!G161),0,Zusatzeingaben!G149)</f>
        <v>0</v>
      </c>
      <c r="H105" s="1400">
        <f>IF(AND(Zusatzeingaben!H161&gt;0,Zusatzeingaben!H164=Zusatzeingaben!H161),0,Zusatzeingaben!H149)</f>
        <v>0</v>
      </c>
      <c r="I105" s="1401">
        <f>IF(AND(Zusatzeingaben!I161&gt;0,Zusatzeingaben!I164=Zusatzeingaben!I161),0,Zusatzeingaben!I149)</f>
        <v>0</v>
      </c>
      <c r="J105" s="1737"/>
    </row>
    <row r="106" spans="1:10" ht="17.25" hidden="1">
      <c r="A106" s="1312"/>
      <c r="B106" s="1392"/>
      <c r="C106" s="1400">
        <f>IF(C113=0,Zusatzeingaben!C149,0)</f>
        <v>0</v>
      </c>
      <c r="D106" s="1400">
        <f>IF(D113=0,Zusatzeingaben!D149,0)</f>
        <v>0</v>
      </c>
      <c r="E106" s="1400">
        <f>IF(E113=0,Zusatzeingaben!E149,0)</f>
        <v>0</v>
      </c>
      <c r="F106" s="1400">
        <f>IF(F113=0,Zusatzeingaben!F149,0)</f>
        <v>0</v>
      </c>
      <c r="G106" s="1400">
        <f>IF(G113=0,Zusatzeingaben!G149,0)</f>
        <v>0</v>
      </c>
      <c r="H106" s="1400">
        <f>IF(H113=0,Zusatzeingaben!H149,0)</f>
        <v>0</v>
      </c>
      <c r="I106" s="1401">
        <f>IF(I113=0,Zusatzeingaben!I149,0)</f>
        <v>0</v>
      </c>
      <c r="J106" s="1737"/>
    </row>
    <row r="107" spans="1:10" ht="17.25" hidden="1">
      <c r="A107" s="1318"/>
      <c r="B107" s="1392"/>
      <c r="C107" s="1400">
        <f>IF(C106&gt;0,C106,C105)</f>
        <v>0</v>
      </c>
      <c r="D107" s="1400">
        <f t="shared" ref="D107:I107" si="11">IF(D106&gt;0,D106,D105)</f>
        <v>0</v>
      </c>
      <c r="E107" s="1400">
        <f t="shared" si="11"/>
        <v>0</v>
      </c>
      <c r="F107" s="1400">
        <f t="shared" si="11"/>
        <v>0</v>
      </c>
      <c r="G107" s="1400">
        <f t="shared" si="11"/>
        <v>0</v>
      </c>
      <c r="H107" s="1400">
        <f t="shared" si="11"/>
        <v>0</v>
      </c>
      <c r="I107" s="1401">
        <f t="shared" si="11"/>
        <v>0</v>
      </c>
      <c r="J107" s="1737"/>
    </row>
    <row r="108" spans="1:10" ht="17.25">
      <c r="A108" s="1316">
        <f>IF(B108&gt;0,"./. Werbungskosten bei Erwerbstätigkeit",0)</f>
        <v>0</v>
      </c>
      <c r="B108" s="1392">
        <f>SUM(C108:I108)</f>
        <v>0</v>
      </c>
      <c r="C108" s="1400">
        <f>IF(AND(C114&gt;0,C54&lt;=400),0,IF(AND(C58&gt;200,Zusatzeingaben!C159&gt;Zusatzeingaben!C157),Zusatzeingaben!C148,IF(AND($A$57="Gewinn aus selbständiger Tätigkeit",C57&gt;0),Zusatzeingaben!C148,IF(AND(C54&lt;100,C58&lt;200,C69&gt;0),0,C107))))</f>
        <v>0</v>
      </c>
      <c r="D108" s="1400">
        <f>IF(AND(D114&gt;0,D54&lt;=400),0,IF(AND(D58&gt;200,Zusatzeingaben!D159&gt;Zusatzeingaben!D157),Zusatzeingaben!D148,IF(AND($A$57="Gewinn aus selbständiger Tätigkeit",D57&gt;0),0,IF(AND(D54&lt;100,D58&lt;200,D69&gt;0),0,D107))))</f>
        <v>0</v>
      </c>
      <c r="E108" s="1400">
        <f>IF(AND(E114&gt;0,E54&lt;=400),0,IF(AND(E58&gt;200,Zusatzeingaben!E159&gt;Zusatzeingaben!E157),Zusatzeingaben!E148,IF(AND($A$57="Gewinn aus selbständiger Tätigkeit",E57&gt;0),0,IF(AND(E54&lt;100,E58&lt;200,E69&gt;0),0,E107))))</f>
        <v>0</v>
      </c>
      <c r="F108" s="1400">
        <f>IF(AND(F114&gt;0,F54&lt;=400),0,IF(AND(F58&gt;200,Zusatzeingaben!F159&gt;Zusatzeingaben!F157),Zusatzeingaben!F148,IF(AND($A$57="Gewinn aus selbständiger Tätigkeit",F57&gt;0),0,IF(AND(F54&lt;100,F58&lt;200,F69&gt;0),0,F107))))</f>
        <v>0</v>
      </c>
      <c r="G108" s="1400">
        <f>IF(AND(G114&gt;0,G54&lt;=400),0,IF(AND(G58&gt;200,Zusatzeingaben!G159&gt;Zusatzeingaben!G157),Zusatzeingaben!G148,IF(AND($A$57="Gewinn aus selbständiger Tätigkeit",G57&gt;0),0,IF(AND(G54&lt;100,G58&lt;200,G69&gt;0),0,G107))))</f>
        <v>0</v>
      </c>
      <c r="H108" s="1400">
        <f>IF(AND(H114&gt;0,H54&lt;=400),0,IF(AND(H58&gt;200,Zusatzeingaben!H159&gt;Zusatzeingaben!H157),Zusatzeingaben!H148,IF(AND($A$57="Gewinn aus selbständiger Tätigkeit",H57&gt;0),0,IF(AND(H54&lt;100,H58&lt;200,H69&gt;0),0,H107))))</f>
        <v>0</v>
      </c>
      <c r="I108" s="1401">
        <f>IF(AND(I114&gt;0,I54&lt;=400),0,IF(AND(I58&gt;200,Zusatzeingaben!I159&gt;Zusatzeingaben!I157),Zusatzeingaben!I148,IF(AND($A$57="Gewinn aus selbständiger Tätigkeit",I57&gt;0),0,IF(AND(I54&lt;100,I58&lt;200,I69&gt;0),0,I107))))</f>
        <v>0</v>
      </c>
      <c r="J108" s="1737"/>
    </row>
    <row r="109" spans="1:10" ht="17.25">
      <c r="A109" s="1916">
        <f>IF(B109&gt;0,"./. notwendige Ausgaben wie ESt., SV-Pflichtbeiträge",0)</f>
        <v>0</v>
      </c>
      <c r="B109" s="1392">
        <f>SUM(C109:I109)</f>
        <v>0</v>
      </c>
      <c r="C109" s="1400">
        <f>Zusatzeingaben!C218</f>
        <v>0</v>
      </c>
      <c r="D109" s="1400">
        <f>Zusatzeingaben!D218</f>
        <v>0</v>
      </c>
      <c r="E109" s="1400">
        <f>Zusatzeingaben!E218</f>
        <v>0</v>
      </c>
      <c r="F109" s="1400">
        <f>Zusatzeingaben!F218</f>
        <v>0</v>
      </c>
      <c r="G109" s="1400">
        <f>Zusatzeingaben!G218</f>
        <v>0</v>
      </c>
      <c r="H109" s="1400">
        <f>Zusatzeingaben!H218</f>
        <v>0</v>
      </c>
      <c r="I109" s="1401">
        <f>Zusatzeingaben!I218</f>
        <v>0</v>
      </c>
      <c r="J109" s="1737"/>
    </row>
    <row r="110" spans="1:10" ht="16.5" hidden="1" customHeight="1">
      <c r="A110" s="1318"/>
      <c r="B110" s="1392"/>
      <c r="C110" s="1381">
        <f>IF(Zusatzeingaben!C161&gt;200,0,Zusatzeingaben!C161)</f>
        <v>0</v>
      </c>
      <c r="D110" s="1381">
        <f>IF(Zusatzeingaben!D161&gt;200,0,Zusatzeingaben!D161)</f>
        <v>0</v>
      </c>
      <c r="E110" s="1381">
        <f>IF(Zusatzeingaben!E161&gt;200,0,Zusatzeingaben!E161)</f>
        <v>0</v>
      </c>
      <c r="F110" s="1381">
        <f>IF(Zusatzeingaben!F161&gt;200,0,Zusatzeingaben!F161)</f>
        <v>0</v>
      </c>
      <c r="G110" s="1381">
        <f>IF(Zusatzeingaben!G161&gt;200,0,Zusatzeingaben!G161)</f>
        <v>0</v>
      </c>
      <c r="H110" s="1381">
        <f>IF(Zusatzeingaben!H161&gt;200,0,Zusatzeingaben!H161)</f>
        <v>0</v>
      </c>
      <c r="I110" s="1382">
        <f>IF(Zusatzeingaben!I161&gt;200,0,Zusatzeingaben!I161)</f>
        <v>0</v>
      </c>
      <c r="J110" s="1737"/>
    </row>
    <row r="111" spans="1:10" ht="16.5" hidden="1" customHeight="1">
      <c r="A111" s="1318"/>
      <c r="B111" s="1392"/>
      <c r="C111" s="1381">
        <f>IF(AND(Zusatzeingaben!C131+Zusatzeingaben!C139&gt;400,Zusatzeingaben!C160&gt;100,Zusatzeingaben!C138&gt;0,Zusatzeingaben!C159+100&gt;Zusatzeingaben!C160),Zusatzeingaben!C159+100,IF(OR(Zusatzeingaben!C153&gt;100,Zusatzeingaben!C156&gt;100),0,IF(AND(Zusatzeingaben!C180&gt;0,Zusatzeingaben!C191&gt;100+Zusatzeingaben!C190),0,C110)))</f>
        <v>0</v>
      </c>
      <c r="D111" s="1381">
        <f>IF(AND(Zusatzeingaben!D131+Zusatzeingaben!D139&gt;400,Zusatzeingaben!D160&gt;100,Zusatzeingaben!D138&gt;0,Zusatzeingaben!D159+100&gt;Zusatzeingaben!D160),Zusatzeingaben!D159+100,IF(OR(Zusatzeingaben!D153&gt;100,Zusatzeingaben!D156&gt;100),0,IF(AND(Zusatzeingaben!D180&gt;0,Zusatzeingaben!D191&gt;100+Zusatzeingaben!D190),0,D110)))</f>
        <v>0</v>
      </c>
      <c r="E111" s="1381">
        <f>IF(AND(Zusatzeingaben!E131+Zusatzeingaben!E139&gt;400,Zusatzeingaben!E160&gt;100,Zusatzeingaben!E138&gt;0,Zusatzeingaben!E159+100&gt;Zusatzeingaben!E160),Zusatzeingaben!E159+100,IF(OR(Zusatzeingaben!E153&gt;100,Zusatzeingaben!E156&gt;100),0,IF(AND(Zusatzeingaben!E180&gt;0,Zusatzeingaben!E191&gt;100+Zusatzeingaben!E190),0,E110)))</f>
        <v>0</v>
      </c>
      <c r="F111" s="1381">
        <f>IF(AND(Zusatzeingaben!F131+Zusatzeingaben!F139&gt;400,Zusatzeingaben!F160&gt;100,Zusatzeingaben!F138&gt;0,Zusatzeingaben!F159+100&gt;Zusatzeingaben!F160),Zusatzeingaben!F159+100,IF(OR(Zusatzeingaben!F153&gt;100,Zusatzeingaben!F156&gt;100),0,IF(AND(Zusatzeingaben!F180&gt;0,Zusatzeingaben!F191&gt;100+Zusatzeingaben!F190),0,F110)))</f>
        <v>0</v>
      </c>
      <c r="G111" s="1381">
        <f>IF(AND(Zusatzeingaben!G131+Zusatzeingaben!G139&gt;400,Zusatzeingaben!G160&gt;100,Zusatzeingaben!G138&gt;0,Zusatzeingaben!G159+100&gt;Zusatzeingaben!G160),Zusatzeingaben!G159+100,IF(OR(Zusatzeingaben!G153&gt;100,Zusatzeingaben!G156&gt;100),0,IF(AND(Zusatzeingaben!G180&gt;0,Zusatzeingaben!G191&gt;100+Zusatzeingaben!G190),0,G110)))</f>
        <v>0</v>
      </c>
      <c r="H111" s="1381">
        <f>IF(AND(Zusatzeingaben!H131+Zusatzeingaben!H139&gt;400,Zusatzeingaben!H160&gt;100,Zusatzeingaben!H138&gt;0,Zusatzeingaben!H159+100&gt;Zusatzeingaben!H160),Zusatzeingaben!H159+100,IF(OR(Zusatzeingaben!H153&gt;100,Zusatzeingaben!H156&gt;100),0,IF(AND(Zusatzeingaben!H180&gt;0,Zusatzeingaben!H191&gt;100+Zusatzeingaben!H190),0,H110)))</f>
        <v>0</v>
      </c>
      <c r="I111" s="1382">
        <f>IF(AND(Zusatzeingaben!I131+Zusatzeingaben!I139&gt;400,Zusatzeingaben!I160&gt;100,Zusatzeingaben!I138&gt;0,Zusatzeingaben!I159+100&gt;Zusatzeingaben!I160),Zusatzeingaben!I159+100,IF(OR(Zusatzeingaben!I153&gt;100,Zusatzeingaben!I156&gt;100),0,IF(AND(Zusatzeingaben!I180&gt;0,Zusatzeingaben!I191&gt;100+Zusatzeingaben!I190),0,I110)))</f>
        <v>0</v>
      </c>
      <c r="J111" s="1737"/>
    </row>
    <row r="112" spans="1:10" ht="16.5" hidden="1" customHeight="1">
      <c r="A112" s="1318"/>
      <c r="B112" s="1392"/>
      <c r="C112" s="1381">
        <f>IF(OR(Zusatzeingaben!C161=100,Zusatzeingaben!C161=200),Zusatzeingaben!C161,C111)</f>
        <v>0</v>
      </c>
      <c r="D112" s="1381">
        <f>IF(OR(Zusatzeingaben!D161=100,Zusatzeingaben!D161=200),Zusatzeingaben!D161,D111)</f>
        <v>0</v>
      </c>
      <c r="E112" s="1381">
        <f>IF(OR(Zusatzeingaben!E161=100,Zusatzeingaben!E161=200),Zusatzeingaben!E161,E111)</f>
        <v>0</v>
      </c>
      <c r="F112" s="1381">
        <f>IF(OR(Zusatzeingaben!F161=100,Zusatzeingaben!F161=200),Zusatzeingaben!F161,F111)</f>
        <v>0</v>
      </c>
      <c r="G112" s="1381">
        <f>IF(OR(Zusatzeingaben!G161=100,Zusatzeingaben!G161=200),Zusatzeingaben!G161,G111)</f>
        <v>0</v>
      </c>
      <c r="H112" s="1381">
        <f>IF(OR(Zusatzeingaben!H161=100,Zusatzeingaben!H161=200),Zusatzeingaben!H161,H111)</f>
        <v>0</v>
      </c>
      <c r="I112" s="1382">
        <f>IF(OR(Zusatzeingaben!I161=100,Zusatzeingaben!I161=200),Zusatzeingaben!I161,I111)</f>
        <v>0</v>
      </c>
      <c r="J112" s="1737"/>
    </row>
    <row r="113" spans="1:10" ht="16.5" customHeight="1">
      <c r="A113" s="1917">
        <f>IF(B113&gt;0,"./. Grundfreibetrag Lohn / Ehrenamt",0)</f>
        <v>0</v>
      </c>
      <c r="B113" s="1392">
        <f>SUM(C113:I113)</f>
        <v>0</v>
      </c>
      <c r="C113" s="1381">
        <f>IF(AND(Zusatzeingaben!C180&gt;0,Zusatzeingaben!C180&lt;Zusatzeingaben!C191),C112,IF(AND(Zusatzeingaben!C180&gt;0,C111=0,Zusatzeingaben!C191&gt;100),0,IF(C110&lt;100,C110,C112)))</f>
        <v>0</v>
      </c>
      <c r="D113" s="1381">
        <f>IF(AND(Zusatzeingaben!D180&gt;0,Zusatzeingaben!D180&lt;Zusatzeingaben!D191),D112,IF(AND(Zusatzeingaben!D180&gt;0,D111=0,Zusatzeingaben!D191&gt;100),0,IF(D110&lt;100,D110,D112)))</f>
        <v>0</v>
      </c>
      <c r="E113" s="1381">
        <f>IF(AND(Zusatzeingaben!E180&gt;0,Zusatzeingaben!E180&lt;Zusatzeingaben!E191),E112,IF(AND(Zusatzeingaben!E180&gt;0,E111=0,Zusatzeingaben!E191&gt;100),0,IF(E110&lt;100,E110,E112)))</f>
        <v>0</v>
      </c>
      <c r="F113" s="1381">
        <f>IF(AND(Zusatzeingaben!F180&gt;0,Zusatzeingaben!F180&lt;Zusatzeingaben!F191),F112,IF(AND(Zusatzeingaben!F180&gt;0,F111=0,Zusatzeingaben!F191&gt;100),0,IF(F110&lt;100,F110,F112)))</f>
        <v>0</v>
      </c>
      <c r="G113" s="1381">
        <f>IF(AND(Zusatzeingaben!G180&gt;0,Zusatzeingaben!G180&lt;Zusatzeingaben!G191),G112,IF(AND(Zusatzeingaben!G180&gt;0,G111=0,Zusatzeingaben!G191&gt;100),0,IF(G110&lt;100,G110,G112)))</f>
        <v>0</v>
      </c>
      <c r="H113" s="1381">
        <f>IF(AND(Zusatzeingaben!H180&gt;0,Zusatzeingaben!H180&lt;Zusatzeingaben!H191),H112,IF(AND(Zusatzeingaben!H180&gt;0,H111=0,Zusatzeingaben!H191&gt;100),0,IF(H110&lt;100,H110,H112)))</f>
        <v>0</v>
      </c>
      <c r="I113" s="1382">
        <f>IF(AND(Zusatzeingaben!I180&gt;0,Zusatzeingaben!I180&lt;Zusatzeingaben!I191),I112,IF(AND(Zusatzeingaben!I180&gt;0,I111=0,Zusatzeingaben!I191&gt;100),0,IF(I110&lt;100,I110,I112)))</f>
        <v>0</v>
      </c>
      <c r="J113" s="1737"/>
    </row>
    <row r="114" spans="1:10" ht="16.5" customHeight="1">
      <c r="A114" s="1917">
        <f>IF(B114&gt;0,"./. Freibetrag Freiwilligendienste",0)</f>
        <v>0</v>
      </c>
      <c r="B114" s="1392">
        <f t="shared" ref="B114:B120" si="12">SUM(C114:I114)</f>
        <v>0</v>
      </c>
      <c r="C114" s="1381">
        <f>Zusatzeingaben!C173</f>
        <v>0</v>
      </c>
      <c r="D114" s="1381">
        <f>Zusatzeingaben!D173</f>
        <v>0</v>
      </c>
      <c r="E114" s="1381">
        <f>Zusatzeingaben!E173</f>
        <v>0</v>
      </c>
      <c r="F114" s="1381">
        <f>Zusatzeingaben!F173</f>
        <v>0</v>
      </c>
      <c r="G114" s="1381">
        <f>Zusatzeingaben!G173</f>
        <v>0</v>
      </c>
      <c r="H114" s="1381">
        <f>Zusatzeingaben!H173</f>
        <v>0</v>
      </c>
      <c r="I114" s="1382">
        <f>Zusatzeingaben!I173</f>
        <v>0</v>
      </c>
      <c r="J114" s="1737"/>
    </row>
    <row r="115" spans="1:10" s="212" customFormat="1" ht="16.5" hidden="1" customHeight="1">
      <c r="A115" s="1916"/>
      <c r="B115" s="1392"/>
      <c r="C115" s="1381">
        <f>IF(AND(Zusatzeingaben!C197&gt;0,C58=0),C54*30%,IF(AND(Zusatzeingaben!C34="nein",C58=0),C54*30%,0))</f>
        <v>0</v>
      </c>
      <c r="D115" s="1381">
        <f>IF(AND(Zusatzeingaben!D197&gt;0,D58=0),D54*30%,IF(AND(Zusatzeingaben!D34="nein",D58=0),D54*30%,0))</f>
        <v>0</v>
      </c>
      <c r="E115" s="1381">
        <f>IF(AND(Zusatzeingaben!E18&gt;14,Zusatzeingaben!E34="nein",E58=0),E54*30%,0)</f>
        <v>0</v>
      </c>
      <c r="F115" s="1381">
        <f>IF(AND(Zusatzeingaben!F18&gt;14,Zusatzeingaben!F34="nein",F58=0),F54*30%,0)</f>
        <v>0</v>
      </c>
      <c r="G115" s="1381">
        <f>IF(AND(Zusatzeingaben!G18&gt;14,Zusatzeingaben!G34="nein",G58=0),G54*30%,0)</f>
        <v>0</v>
      </c>
      <c r="H115" s="1381">
        <f>IF(AND(Zusatzeingaben!H18&gt;14,Zusatzeingaben!H34="nein",H58=0),H54*30%,0)</f>
        <v>0</v>
      </c>
      <c r="I115" s="1382">
        <f>IF(AND(Zusatzeingaben!I18&gt;14,Zusatzeingaben!I34="nein",I58=0),I54*30%,0)</f>
        <v>0</v>
      </c>
      <c r="J115" s="1737"/>
    </row>
    <row r="116" spans="1:10" s="212" customFormat="1" ht="16.5" hidden="1" customHeight="1">
      <c r="A116" s="1916"/>
      <c r="B116" s="1392"/>
      <c r="C116" s="1381">
        <f>IF(AND(Zusatzeingaben!C197&gt;0,C115=0,C58&gt;0),0,IF(AND(Zusatzeingaben!C34="nein",C115=0,C58&gt;0),0,IF(C115&gt;0,MIN(C115,Zusatzeingaben!$C$233*50%),D190)))</f>
        <v>0</v>
      </c>
      <c r="D116" s="1381">
        <f>IF(AND(Zusatzeingaben!D197&gt;0,D115=0,D58&gt;0),0,IF(AND(Zusatzeingaben!D34="nein",D115=0,D58&gt;0),0,IF(D115&gt;0,MIN(D115,Zusatzeingaben!$C$233*50%),D195)))</f>
        <v>0</v>
      </c>
      <c r="E116" s="1381">
        <f>IF(AND(Zusatzeingaben!E18&gt;14,Zusatzeingaben!E34="nein",E115=0,E58&gt;0),0,IF(Zusatzeingaben!E18&lt;15,0,IF(E115&gt;0,MIN(E115,Zusatzeingaben!$C$233*50%),D200)))</f>
        <v>0</v>
      </c>
      <c r="F116" s="1381">
        <f>IF(AND(Zusatzeingaben!F18&gt;14,Zusatzeingaben!F34="nein",F115=0,F58&gt;0),0,IF(Zusatzeingaben!F18&lt;15,0,IF(F115&gt;0,MIN(F115,Zusatzeingaben!$C$233*50%),D205)))</f>
        <v>0</v>
      </c>
      <c r="G116" s="1381">
        <f>IF(AND(Zusatzeingaben!G18&gt;14,Zusatzeingaben!G34="nein",G115=0,G58&gt;0),0,IF(Zusatzeingaben!G18&lt;15,0,IF(G115&gt;0,MIN(G115,Zusatzeingaben!$C$233*50%),D210)))</f>
        <v>0</v>
      </c>
      <c r="H116" s="1381">
        <f>IF(AND(Zusatzeingaben!H18&gt;14,Zusatzeingaben!H34="nein",H115=0,H58&gt;0),0,IF(Zusatzeingaben!H18&lt;15,0,IF(H115&gt;0,MIN(H115,Zusatzeingaben!$C$233*50%),D215)))</f>
        <v>0</v>
      </c>
      <c r="I116" s="1382">
        <f>IF(AND(Zusatzeingaben!I18&gt;14,Zusatzeingaben!I34="nein",I115=0,I58&gt;0),0,IF(Zusatzeingaben!I18&lt;15,0,IF(I115&gt;0,MIN(I115,Zusatzeingaben!$C$233*50%),D220)))</f>
        <v>0</v>
      </c>
      <c r="J116" s="1737"/>
    </row>
    <row r="117" spans="1:10" s="212" customFormat="1" ht="16.5" customHeight="1">
      <c r="A117" s="1916">
        <f>IF(B117&gt;0,"./. Freibetrag bei Erwerbstätigkeit",0)</f>
        <v>0</v>
      </c>
      <c r="B117" s="1392">
        <f t="shared" si="12"/>
        <v>0</v>
      </c>
      <c r="C117" s="1381">
        <f>IF(C54+C58-C113=0,0,IF(C54+C58-C113-C116&lt;0,C54+C58-C113,C116))</f>
        <v>0</v>
      </c>
      <c r="D117" s="1381">
        <f t="shared" ref="D117:I117" si="13">IF(D54+D58-D113=0,0,IF(D54+D58-D113-D116&lt;0,D54+D58-D113,D116))</f>
        <v>0</v>
      </c>
      <c r="E117" s="1381">
        <f t="shared" si="13"/>
        <v>0</v>
      </c>
      <c r="F117" s="1381">
        <f t="shared" si="13"/>
        <v>0</v>
      </c>
      <c r="G117" s="1381">
        <f t="shared" si="13"/>
        <v>0</v>
      </c>
      <c r="H117" s="1381">
        <f t="shared" si="13"/>
        <v>0</v>
      </c>
      <c r="I117" s="1382">
        <f t="shared" si="13"/>
        <v>0</v>
      </c>
      <c r="J117" s="1737"/>
    </row>
    <row r="118" spans="1:10" s="212" customFormat="1" ht="16.5" customHeight="1">
      <c r="A118" s="1916">
        <f>IF(B118&gt;0,"./. Unterhaltsverpflichtungen",0)</f>
        <v>0</v>
      </c>
      <c r="B118" s="1392">
        <f t="shared" si="12"/>
        <v>0</v>
      </c>
      <c r="C118" s="1381">
        <f>IF(C70=0,0,Zusatzeingaben!C219)</f>
        <v>0</v>
      </c>
      <c r="D118" s="1381">
        <f>IF(D70=0,0,Zusatzeingaben!D219)</f>
        <v>0</v>
      </c>
      <c r="E118" s="1381">
        <f>IF(E70=0,0,Zusatzeingaben!E219)</f>
        <v>0</v>
      </c>
      <c r="F118" s="1381">
        <f>IF(F70=0,0,Zusatzeingaben!F219)</f>
        <v>0</v>
      </c>
      <c r="G118" s="1381">
        <f>IF(G70=0,0,Zusatzeingaben!G219)</f>
        <v>0</v>
      </c>
      <c r="H118" s="1381">
        <f>IF(H70=0,0,Zusatzeingaben!H219)</f>
        <v>0</v>
      </c>
      <c r="I118" s="1382">
        <f>IF(I70=0,0,Zusatzeingaben!I219)</f>
        <v>0</v>
      </c>
      <c r="J118" s="1737"/>
    </row>
    <row r="119" spans="1:10" s="212" customFormat="1" ht="16.5" customHeight="1">
      <c r="A119" s="1918">
        <f>IF(B119&gt;0,"./. Elterngeldfreibetrag",0)</f>
        <v>0</v>
      </c>
      <c r="B119" s="1392">
        <f t="shared" si="12"/>
        <v>0</v>
      </c>
      <c r="C119" s="1381">
        <f>Zusatzeingaben!C179</f>
        <v>0</v>
      </c>
      <c r="D119" s="1381">
        <f>Zusatzeingaben!D179</f>
        <v>0</v>
      </c>
      <c r="E119" s="1381"/>
      <c r="F119" s="1381"/>
      <c r="G119" s="1402"/>
      <c r="H119" s="1402"/>
      <c r="I119" s="1410"/>
      <c r="J119" s="1737"/>
    </row>
    <row r="120" spans="1:10" s="212" customFormat="1" ht="18" customHeight="1" thickBot="1">
      <c r="A120" s="1919">
        <f>IF(AND(C120&gt;0,C120=Zusatzeingaben!C189),"./. Grundfreibetrag Ausbildungsförderung",IF(AND(D120&gt;0,D120=Zusatzeingaben!D189),"./. Grundfreibetrag Ausbildungsförderung",IF(AND(E120&gt;0,E120=Zusatzeingaben!E189),"./. Grundfreibetrag Ausbildungsförderung",IF(AND(F120&gt;0,F120=Zusatzeingaben!F189),"./. Grundfreibetrag Ausbildungsförderung",IF(AND(G120&gt;0,G120=Zusatzeingaben!G189),"./. Grundfreibetrag Ausbildungsförderung",IF(AND(H120&gt;0,H120=Zusatzeingaben!H189),"./. Grundfreibetrag Ausbildungsförderung",IF(AND(I120&gt;0,I120=Zusatzeingaben!I189),"./. Grundfreibetrag Ausbildungsförderung",IF(AND(C120&gt;0,C120=Zusatzeingaben!C190),"./. Ausgaben für die Ausbildung",IF(AND(D120&gt;0,D120=Zusatzeingaben!D190),"./. Ausgaben für die Ausbildung",IF(AND(E120&gt;0,E120=Zusatzeingaben!E190),"./. Ausgaben für die Ausbildung",IF(AND(F120&gt;0,F120=Zusatzeingaben!F190),"./. Ausgaben für die Ausbildung",IF(AND(G120&gt;0,G120=Zusatzeingaben!G190),"./. Ausgaben für die Ausbildung",IF(AND(H120&gt;0,H120=Zusatzeingaben!H190),"./. Ausgaben für die Ausbildung",IF(AND(I120&gt;0,I120=Zusatzeingaben!I190),"./. Ausgaben für die Ausbildung",0))))))))))))))</f>
        <v>0</v>
      </c>
      <c r="B120" s="1393">
        <f t="shared" si="12"/>
        <v>0</v>
      </c>
      <c r="C120" s="1390">
        <f>IF(Zusatzeingaben!C191&gt;100,Zusatzeingaben!C190,IF(AND(Zusatzeingaben!C190&gt;0,Zusatzeingaben!C190&gt;Zusatzeingaben!C189),Zusatzeingaben!C190,Zusatzeingaben!C189))</f>
        <v>0</v>
      </c>
      <c r="D120" s="1390">
        <f>IF(Zusatzeingaben!D191&gt;100,Zusatzeingaben!D190,IF(AND(Zusatzeingaben!D190&gt;0,Zusatzeingaben!D190&gt;Zusatzeingaben!D189),Zusatzeingaben!D190,Zusatzeingaben!D189))</f>
        <v>0</v>
      </c>
      <c r="E120" s="1390">
        <f>IF(Zusatzeingaben!E191&gt;100,Zusatzeingaben!E190,IF(AND(Zusatzeingaben!E190&gt;0,Zusatzeingaben!E190&gt;Zusatzeingaben!E189),Zusatzeingaben!E190,Zusatzeingaben!E189))</f>
        <v>0</v>
      </c>
      <c r="F120" s="1390">
        <f>IF(Zusatzeingaben!F191&gt;100,Zusatzeingaben!F190,IF(AND(Zusatzeingaben!F190&gt;0,Zusatzeingaben!F190&gt;Zusatzeingaben!F189),Zusatzeingaben!F190,Zusatzeingaben!F189))</f>
        <v>0</v>
      </c>
      <c r="G120" s="1390">
        <f>IF(Zusatzeingaben!G191&gt;100,Zusatzeingaben!G190,IF(AND(Zusatzeingaben!G190&gt;0,Zusatzeingaben!G190&gt;Zusatzeingaben!G189),Zusatzeingaben!G190,Zusatzeingaben!G189))</f>
        <v>0</v>
      </c>
      <c r="H120" s="1390">
        <f>IF(Zusatzeingaben!H191&gt;100,Zusatzeingaben!H190,IF(AND(Zusatzeingaben!H190&gt;0,Zusatzeingaben!H190&gt;Zusatzeingaben!H189),Zusatzeingaben!H190,Zusatzeingaben!H189))</f>
        <v>0</v>
      </c>
      <c r="I120" s="1391">
        <f>IF(Zusatzeingaben!I191&gt;100,Zusatzeingaben!I190,IF(AND(Zusatzeingaben!I190&gt;0,Zusatzeingaben!I190&gt;Zusatzeingaben!I189),Zusatzeingaben!I190,Zusatzeingaben!I189))</f>
        <v>0</v>
      </c>
      <c r="J120" s="1737"/>
    </row>
    <row r="121" spans="1:10" s="212" customFormat="1" ht="18" hidden="1" customHeight="1" thickTop="1">
      <c r="A121" s="1328"/>
      <c r="B121" s="1354">
        <f>SUM(C121:I121)</f>
        <v>0</v>
      </c>
      <c r="C121" s="1355">
        <f t="shared" ref="C121:I121" si="14">C70-C76-C82-C87-C92-C98-C104-C108-C109-C113-C114-C117-C118-C119-C120</f>
        <v>0</v>
      </c>
      <c r="D121" s="1355">
        <f t="shared" si="14"/>
        <v>0</v>
      </c>
      <c r="E121" s="1355">
        <f t="shared" si="14"/>
        <v>0</v>
      </c>
      <c r="F121" s="1355">
        <f t="shared" si="14"/>
        <v>0</v>
      </c>
      <c r="G121" s="1355">
        <f t="shared" si="14"/>
        <v>0</v>
      </c>
      <c r="H121" s="1355">
        <f t="shared" si="14"/>
        <v>0</v>
      </c>
      <c r="I121" s="1356">
        <f t="shared" si="14"/>
        <v>0</v>
      </c>
      <c r="J121" s="1737"/>
    </row>
    <row r="122" spans="1:10" s="212" customFormat="1" ht="21" customHeight="1" thickTop="1" thickBot="1">
      <c r="A122" s="1329" t="s">
        <v>67</v>
      </c>
      <c r="B122" s="1357">
        <f>SUM(C122:I122)</f>
        <v>0</v>
      </c>
      <c r="C122" s="1357">
        <f>IF(C121&lt;0,0,C121)</f>
        <v>0</v>
      </c>
      <c r="D122" s="1357">
        <f t="shared" ref="D122:I122" si="15">IF(D121&lt;0,0,D121)</f>
        <v>0</v>
      </c>
      <c r="E122" s="1357">
        <f t="shared" si="15"/>
        <v>0</v>
      </c>
      <c r="F122" s="1357">
        <f t="shared" si="15"/>
        <v>0</v>
      </c>
      <c r="G122" s="1357">
        <f t="shared" si="15"/>
        <v>0</v>
      </c>
      <c r="H122" s="1357">
        <f t="shared" si="15"/>
        <v>0</v>
      </c>
      <c r="I122" s="1358">
        <f t="shared" si="15"/>
        <v>0</v>
      </c>
      <c r="J122" s="1737"/>
    </row>
    <row r="123" spans="1:10" s="212" customFormat="1" ht="15" customHeight="1" thickBot="1">
      <c r="J123" s="1737"/>
    </row>
    <row r="124" spans="1:10" ht="9.75" hidden="1" customHeight="1" thickBot="1">
      <c r="J124" s="1737"/>
    </row>
    <row r="125" spans="1:10" s="212" customFormat="1" ht="23.1" customHeight="1">
      <c r="A125" s="2112" t="s">
        <v>44</v>
      </c>
      <c r="B125" s="2105"/>
      <c r="C125" s="2105"/>
      <c r="D125" s="2105"/>
      <c r="E125" s="2105"/>
      <c r="F125" s="2105"/>
      <c r="G125" s="2105"/>
      <c r="H125" s="2105"/>
      <c r="I125" s="2106"/>
      <c r="J125" s="1737"/>
    </row>
    <row r="126" spans="1:10" s="212" customFormat="1" ht="18.75" customHeight="1">
      <c r="A126" s="1309"/>
      <c r="B126" s="1298" t="s">
        <v>1</v>
      </c>
      <c r="C126" s="1298" t="str">
        <f>IF(Zusatzeingaben!C6&lt;&gt;0,Zusatzeingaben!C6,Zusatzeingaben!C4)</f>
        <v>Antragsteller</v>
      </c>
      <c r="D126" s="1298" t="str">
        <f>IF(Zusatzeingaben!D6&lt;&gt;0,Zusatzeingaben!D6,Zusatzeingaben!D4)</f>
        <v>Partner(in)</v>
      </c>
      <c r="E126" s="1298" t="str">
        <f>IF(Zusatzeingaben!E6&lt;&gt;0,Zusatzeingaben!E6,Zusatzeingaben!E4)</f>
        <v>Kind 1</v>
      </c>
      <c r="F126" s="1298" t="str">
        <f>IF(Zusatzeingaben!F6&lt;&gt;0,Zusatzeingaben!F6,Zusatzeingaben!F4)</f>
        <v>Kind 2</v>
      </c>
      <c r="G126" s="1298" t="str">
        <f>IF(Zusatzeingaben!G6&lt;&gt;0,Zusatzeingaben!G6,Zusatzeingaben!G4)</f>
        <v>Kind 3</v>
      </c>
      <c r="H126" s="1302" t="str">
        <f>IF(Zusatzeingaben!H6&lt;&gt;0,Zusatzeingaben!H6,Zusatzeingaben!H4)</f>
        <v>Kind 4</v>
      </c>
      <c r="I126" s="1300" t="str">
        <f>IF(Zusatzeingaben!I6&lt;&gt;0,Zusatzeingaben!I6,Zusatzeingaben!I4)</f>
        <v>Kind 5</v>
      </c>
      <c r="J126" s="1737"/>
    </row>
    <row r="127" spans="1:10" s="212" customFormat="1" ht="17.25" customHeight="1">
      <c r="A127" s="1369" t="s">
        <v>0</v>
      </c>
      <c r="B127" s="1392">
        <f>SUM(C127:I127)</f>
        <v>416</v>
      </c>
      <c r="C127" s="1378">
        <f t="shared" ref="C127:I127" si="16">C50</f>
        <v>416</v>
      </c>
      <c r="D127" s="1378">
        <f t="shared" si="16"/>
        <v>0</v>
      </c>
      <c r="E127" s="1378">
        <f t="shared" si="16"/>
        <v>0</v>
      </c>
      <c r="F127" s="1378">
        <f t="shared" si="16"/>
        <v>0</v>
      </c>
      <c r="G127" s="1378">
        <f t="shared" si="16"/>
        <v>0</v>
      </c>
      <c r="H127" s="1377">
        <f t="shared" si="16"/>
        <v>0</v>
      </c>
      <c r="I127" s="1379">
        <f t="shared" si="16"/>
        <v>0</v>
      </c>
      <c r="J127" s="1737"/>
    </row>
    <row r="128" spans="1:10" s="212" customFormat="1" ht="19.5" customHeight="1" thickBot="1">
      <c r="A128" s="1456">
        <f>IF(B128&gt;0,"./. Einkommen Kinder",0)</f>
        <v>0</v>
      </c>
      <c r="B128" s="1459">
        <f>SUM(C128:I128)</f>
        <v>0</v>
      </c>
      <c r="C128" s="1411"/>
      <c r="D128" s="1411"/>
      <c r="E128" s="1412">
        <f>E122</f>
        <v>0</v>
      </c>
      <c r="F128" s="1412">
        <f>F122</f>
        <v>0</v>
      </c>
      <c r="G128" s="1412">
        <f>G122</f>
        <v>0</v>
      </c>
      <c r="H128" s="1413">
        <f>H122</f>
        <v>0</v>
      </c>
      <c r="I128" s="1414">
        <f>I122</f>
        <v>0</v>
      </c>
      <c r="J128" s="1737"/>
    </row>
    <row r="129" spans="1:11" s="212" customFormat="1" ht="17.25" hidden="1" customHeight="1" thickTop="1">
      <c r="A129" s="1362"/>
      <c r="B129" s="1415"/>
      <c r="C129" s="1416"/>
      <c r="D129" s="1416"/>
      <c r="E129" s="1400">
        <f>E127-E128</f>
        <v>0</v>
      </c>
      <c r="F129" s="1400">
        <f>F127-F128</f>
        <v>0</v>
      </c>
      <c r="G129" s="1400">
        <f>G127-G128</f>
        <v>0</v>
      </c>
      <c r="H129" s="1417">
        <f>H127-H128</f>
        <v>0</v>
      </c>
      <c r="I129" s="1401">
        <f>I127-I128</f>
        <v>0</v>
      </c>
      <c r="J129" s="1737"/>
    </row>
    <row r="130" spans="1:11" ht="17.25" hidden="1" customHeight="1">
      <c r="A130" s="1363"/>
      <c r="B130" s="1418"/>
      <c r="C130" s="1419"/>
      <c r="D130" s="1419"/>
      <c r="E130" s="1419">
        <f>IF(E129&lt;0,0,E129)</f>
        <v>0</v>
      </c>
      <c r="F130" s="1419">
        <f>IF(F129&lt;0,0,F129)</f>
        <v>0</v>
      </c>
      <c r="G130" s="1419">
        <f>IF(G129&lt;0,0,G129)</f>
        <v>0</v>
      </c>
      <c r="H130" s="1420">
        <f>IF(H129&lt;0,0,H129)</f>
        <v>0</v>
      </c>
      <c r="I130" s="1421">
        <f>IF(I129&lt;0,0,I129)</f>
        <v>0</v>
      </c>
      <c r="J130" s="1737"/>
    </row>
    <row r="131" spans="1:11" ht="19.5" customHeight="1" thickTop="1">
      <c r="A131" s="1320" t="s">
        <v>36</v>
      </c>
      <c r="B131" s="1392">
        <f>SUM(C131:I131)</f>
        <v>416</v>
      </c>
      <c r="C131" s="1378">
        <f>C127</f>
        <v>416</v>
      </c>
      <c r="D131" s="1378">
        <f>D127</f>
        <v>0</v>
      </c>
      <c r="E131" s="1378">
        <f>E130</f>
        <v>0</v>
      </c>
      <c r="F131" s="1378">
        <f>F130</f>
        <v>0</v>
      </c>
      <c r="G131" s="1378">
        <f>G130</f>
        <v>0</v>
      </c>
      <c r="H131" s="1377">
        <f>H130</f>
        <v>0</v>
      </c>
      <c r="I131" s="1379">
        <f>I130</f>
        <v>0</v>
      </c>
      <c r="J131" s="1737"/>
      <c r="K131" s="439"/>
    </row>
    <row r="132" spans="1:11" ht="18" customHeight="1">
      <c r="A132" s="1320"/>
      <c r="B132" s="1392">
        <f>SUM(C132:I132)</f>
        <v>416</v>
      </c>
      <c r="C132" s="1378">
        <f t="shared" ref="C132:D132" si="17">IF(C10="ja",C131,0)</f>
        <v>416</v>
      </c>
      <c r="D132" s="1378">
        <f t="shared" si="17"/>
        <v>0</v>
      </c>
      <c r="E132" s="1378">
        <f>IF(AND(Zusatzeingaben!E37=0,E10="ja"),E131,0)</f>
        <v>0</v>
      </c>
      <c r="F132" s="1378">
        <f>IF(AND(Zusatzeingaben!F37=0,F10="ja"),F131,0)</f>
        <v>0</v>
      </c>
      <c r="G132" s="1378">
        <f>IF(AND(Zusatzeingaben!G37=0,G10="ja"),G131,0)</f>
        <v>0</v>
      </c>
      <c r="H132" s="1378">
        <f>IF(AND(Zusatzeingaben!H37=0,H10="ja"),H131,0)</f>
        <v>0</v>
      </c>
      <c r="I132" s="1378">
        <f>IF(AND(Zusatzeingaben!I37=0,I10="ja"),I131,0)</f>
        <v>0</v>
      </c>
      <c r="J132" s="1737"/>
    </row>
    <row r="133" spans="1:11" ht="17.25" customHeight="1">
      <c r="A133" s="1364" t="s">
        <v>37</v>
      </c>
      <c r="B133" s="1422">
        <f>SUM(C133:I133)</f>
        <v>1</v>
      </c>
      <c r="C133" s="1423">
        <f>IF(AND(B132&gt;0,C10="ja"),C132/B132,0)</f>
        <v>1</v>
      </c>
      <c r="D133" s="1423">
        <f t="shared" ref="D133:I133" si="18">IF(AND($B$132&gt;0,D11&gt;0,D10="ja"),D132/$B$132,0)</f>
        <v>0</v>
      </c>
      <c r="E133" s="1423">
        <f t="shared" si="18"/>
        <v>0</v>
      </c>
      <c r="F133" s="1423">
        <f t="shared" si="18"/>
        <v>0</v>
      </c>
      <c r="G133" s="1423">
        <f t="shared" si="18"/>
        <v>0</v>
      </c>
      <c r="H133" s="1424">
        <f t="shared" si="18"/>
        <v>0</v>
      </c>
      <c r="I133" s="1425">
        <f t="shared" si="18"/>
        <v>0</v>
      </c>
      <c r="J133" s="1737"/>
    </row>
    <row r="134" spans="1:11" ht="19.5" hidden="1" customHeight="1">
      <c r="A134" s="1365"/>
      <c r="B134" s="1381"/>
      <c r="C134" s="1423"/>
      <c r="D134" s="1423"/>
      <c r="E134" s="1381">
        <f>IF(E129&lt;0,E129,0)</f>
        <v>0</v>
      </c>
      <c r="F134" s="1381">
        <f>IF(F129&lt;0,F129,0)</f>
        <v>0</v>
      </c>
      <c r="G134" s="1381">
        <f>IF(G129&lt;0,G129,0)</f>
        <v>0</v>
      </c>
      <c r="H134" s="1376">
        <f>IF(H129&lt;0,H129,0)</f>
        <v>0</v>
      </c>
      <c r="I134" s="1382">
        <f>IF(I129&lt;0,I129,0)</f>
        <v>0</v>
      </c>
      <c r="J134" s="1737"/>
    </row>
    <row r="135" spans="1:11" ht="17.25" hidden="1">
      <c r="A135" s="1366"/>
      <c r="B135" s="1395"/>
      <c r="C135" s="1395"/>
      <c r="D135" s="1395"/>
      <c r="E135" s="1395">
        <f>IF(E134&lt;-E62,-E62,E134)</f>
        <v>0</v>
      </c>
      <c r="F135" s="1395">
        <f>IF(F134&lt;-F62,-F62,F134)</f>
        <v>0</v>
      </c>
      <c r="G135" s="1395">
        <f>IF(G134&lt;-G62,-G62,G134)</f>
        <v>0</v>
      </c>
      <c r="H135" s="1426">
        <f>IF(H134&lt;-H62,-H62,H134)</f>
        <v>0</v>
      </c>
      <c r="I135" s="1396">
        <f>IF(I134&lt;-I62,-I62,I134)</f>
        <v>0</v>
      </c>
      <c r="J135" s="1737"/>
    </row>
    <row r="136" spans="1:11" ht="19.5" hidden="1" customHeight="1">
      <c r="A136" s="1366"/>
      <c r="B136" s="1395">
        <f>SUM(E136:I136)</f>
        <v>0</v>
      </c>
      <c r="C136" s="1395"/>
      <c r="D136" s="1395"/>
      <c r="E136" s="1395">
        <f>-E135*1</f>
        <v>0</v>
      </c>
      <c r="F136" s="1395">
        <f>-F135*1</f>
        <v>0</v>
      </c>
      <c r="G136" s="1395">
        <f>-G135*1</f>
        <v>0</v>
      </c>
      <c r="H136" s="1426">
        <f>-H135*1</f>
        <v>0</v>
      </c>
      <c r="I136" s="1396">
        <f>-I135*1</f>
        <v>0</v>
      </c>
      <c r="J136" s="1737"/>
    </row>
    <row r="137" spans="1:11" ht="18" customHeight="1">
      <c r="A137" s="1488">
        <f>IF(OR(C137&gt;0,D137&gt;0),"übertragbares Kindergeld",0)</f>
        <v>0</v>
      </c>
      <c r="B137" s="1415"/>
      <c r="C137" s="1427">
        <f>$B$136</f>
        <v>0</v>
      </c>
      <c r="D137" s="1427"/>
      <c r="E137" s="1428"/>
      <c r="F137" s="1428"/>
      <c r="G137" s="1428"/>
      <c r="H137" s="1429"/>
      <c r="I137" s="1430"/>
      <c r="J137" s="1737"/>
    </row>
    <row r="138" spans="1:11" ht="19.5" hidden="1" customHeight="1">
      <c r="A138" s="1311"/>
      <c r="B138" s="1416"/>
      <c r="C138" s="1427">
        <f>IF(AND(C122=0,C137&gt;0),30+Zusatzeingaben!C204+Zusatzeingaben!C205+Zusatzeingaben!C213,0)</f>
        <v>0</v>
      </c>
      <c r="D138" s="1427">
        <f>IF(AND(D122=0,D137&gt;0),30+Zusatzeingaben!D204+Zusatzeingaben!D205+Zusatzeingaben!D213,0)</f>
        <v>0</v>
      </c>
      <c r="E138" s="1427">
        <f>IF(AND(E122=0,E137&gt;0),30+Zusatzeingaben!E204+Zusatzeingaben!E205+Zusatzeingaben!E213,0)</f>
        <v>0</v>
      </c>
      <c r="F138" s="1427">
        <f>IF(AND(F122=0,F137&gt;0),30+Zusatzeingaben!F204+Zusatzeingaben!F205+Zusatzeingaben!F213,0)</f>
        <v>0</v>
      </c>
      <c r="G138" s="1427">
        <f>IF(AND(G122=0,G137&gt;0),30+Zusatzeingaben!G204+Zusatzeingaben!G205+Zusatzeingaben!G213,0)</f>
        <v>0</v>
      </c>
      <c r="H138" s="1431">
        <f>IF(AND(H122=0,H137&gt;0),30+Zusatzeingaben!H204+Zusatzeingaben!H205+Zusatzeingaben!H213,0)</f>
        <v>0</v>
      </c>
      <c r="I138" s="1432">
        <f>IF(AND(I122=0,I137&gt;0),30+Zusatzeingaben!I204+Zusatzeingaben!I205+Zusatzeingaben!I213,0)</f>
        <v>0</v>
      </c>
      <c r="J138" s="1737"/>
    </row>
    <row r="139" spans="1:11" ht="19.5" hidden="1" customHeight="1">
      <c r="A139" s="1311"/>
      <c r="B139" s="1416"/>
      <c r="C139" s="1427">
        <f>C137-C138</f>
        <v>0</v>
      </c>
      <c r="D139" s="1427">
        <f>D137-D138</f>
        <v>0</v>
      </c>
      <c r="E139" s="1428"/>
      <c r="F139" s="1428"/>
      <c r="G139" s="1428"/>
      <c r="H139" s="1429"/>
      <c r="I139" s="1430"/>
      <c r="J139" s="1737"/>
    </row>
    <row r="140" spans="1:11" ht="19.5" hidden="1" customHeight="1">
      <c r="A140" s="1311"/>
      <c r="B140" s="1416"/>
      <c r="C140" s="1427">
        <f>IF(C139&lt;0,0,C139)</f>
        <v>0</v>
      </c>
      <c r="D140" s="1427">
        <f>IF(D139&lt;0,0,D139)</f>
        <v>0</v>
      </c>
      <c r="E140" s="1428"/>
      <c r="F140" s="1428"/>
      <c r="G140" s="1428"/>
      <c r="H140" s="1429"/>
      <c r="I140" s="1430"/>
      <c r="J140" s="1737"/>
    </row>
    <row r="141" spans="1:11" ht="17.25" customHeight="1">
      <c r="A141" s="1365">
        <f>IF(B141&gt;0,"Einkommen",0)</f>
        <v>0</v>
      </c>
      <c r="B141" s="1422">
        <f>C141+D141</f>
        <v>0</v>
      </c>
      <c r="C141" s="1381">
        <f>C122+C140</f>
        <v>0</v>
      </c>
      <c r="D141" s="1381">
        <f>D122+D140</f>
        <v>0</v>
      </c>
      <c r="E141" s="1433"/>
      <c r="F141" s="1433"/>
      <c r="G141" s="1433"/>
      <c r="H141" s="1434"/>
      <c r="I141" s="1435"/>
      <c r="J141" s="1737"/>
    </row>
    <row r="142" spans="1:11" ht="17.25" hidden="1">
      <c r="A142" s="1367"/>
      <c r="B142" s="1418"/>
      <c r="C142" s="1395">
        <f>C127-C141</f>
        <v>416</v>
      </c>
      <c r="D142" s="1395">
        <f>D127-D141</f>
        <v>0</v>
      </c>
      <c r="E142" s="1436"/>
      <c r="F142" s="1436"/>
      <c r="G142" s="1436"/>
      <c r="H142" s="1437"/>
      <c r="I142" s="1438"/>
      <c r="J142" s="1737"/>
    </row>
    <row r="143" spans="1:11" ht="17.25" hidden="1">
      <c r="A143" s="1367"/>
      <c r="B143" s="1418"/>
      <c r="C143" s="1395">
        <f>-1*C142</f>
        <v>-416</v>
      </c>
      <c r="D143" s="1395">
        <f>-1*D142</f>
        <v>0</v>
      </c>
      <c r="E143" s="1436"/>
      <c r="F143" s="1436"/>
      <c r="G143" s="1436"/>
      <c r="H143" s="1437"/>
      <c r="I143" s="1438"/>
      <c r="J143" s="1737"/>
    </row>
    <row r="144" spans="1:11" ht="17.25" hidden="1">
      <c r="A144" s="1367"/>
      <c r="B144" s="1418"/>
      <c r="C144" s="1395">
        <f>IF(C143&gt;0,C143,0)</f>
        <v>0</v>
      </c>
      <c r="D144" s="1395">
        <f>IF(D143&gt;0,D143,0)</f>
        <v>0</v>
      </c>
      <c r="E144" s="1395"/>
      <c r="F144" s="1395"/>
      <c r="G144" s="1395"/>
      <c r="H144" s="1426"/>
      <c r="I144" s="1396"/>
      <c r="J144" s="1737"/>
    </row>
    <row r="145" spans="1:12" ht="17.25">
      <c r="A145" s="1365">
        <f>IF(B145&gt;0,"./. nicht verteilbares Einkommen",0)</f>
        <v>0</v>
      </c>
      <c r="B145" s="1392">
        <f>C145+D145</f>
        <v>0</v>
      </c>
      <c r="C145" s="1381">
        <f>IF(AND($B$7&gt;2,D133&gt;0,C133=0,SUM(D131:$I$131)&lt;D141),C141,IF(OR(C10="nur Mehrbedarf",C10="nein"),C141-C146,0))</f>
        <v>0</v>
      </c>
      <c r="D145" s="1381">
        <f>IF(AND($B$7&gt;2,C133&gt;0,D133=0,C131+SUM($E$131:$I$131)&lt;C141),D141,IF(OR(D10="nur Mehrbedarf",D10="nein"),D141-D146,0))</f>
        <v>0</v>
      </c>
      <c r="E145" s="1381"/>
      <c r="F145" s="1381"/>
      <c r="G145" s="1381"/>
      <c r="H145" s="1376"/>
      <c r="I145" s="1382"/>
      <c r="J145" s="1737"/>
    </row>
    <row r="146" spans="1:12" ht="17.25" customHeight="1">
      <c r="A146" s="1369">
        <f>IF(B146&gt;0,"verteilbares Einkommen",0)</f>
        <v>0</v>
      </c>
      <c r="B146" s="1422">
        <f>C146+D146</f>
        <v>0</v>
      </c>
      <c r="C146" s="1381">
        <f>IF(AND($B$7&gt;2,D133&gt;0,C133=0,SUM(D131:$I$131)&lt;D141),0,IF(AND(C10="nur Mehrbedarf",C141&lt;C131+C150),0,IF(AND(C10="nur Mehrbedarf",C144&gt;C150),C144-C150,IF(AND(C10="nein",C144&gt;0),C144,IF(AND(C10="nur Mehrbedarf",C144=0),0,IF(AND(C10="nein",C144=0),0,C141))))))</f>
        <v>0</v>
      </c>
      <c r="D146" s="1381">
        <f>IF(AND($B$7&gt;2,C133&gt;0,D133=0,C131+SUM($E$131:$I$131)&lt;C141),0,IF(AND(D10="nur Mehrbedarf",D141&lt;D131+D150),0,IF(AND(D10="nur Mehrbedarf",D144&gt;D150),D144-D150,IF(AND(D10="nein",D144&gt;0),D144,IF(AND(D10="nur Mehrbedarf",D144=0),0,IF(AND(D10="nein",D144=0),0,D141))))))</f>
        <v>0</v>
      </c>
      <c r="E146" s="1439"/>
      <c r="F146" s="1439"/>
      <c r="G146" s="1439"/>
      <c r="H146" s="1440"/>
      <c r="I146" s="1441"/>
      <c r="J146" s="1737"/>
    </row>
    <row r="147" spans="1:12" ht="17.25" customHeight="1">
      <c r="A147" s="1455"/>
      <c r="B147" s="1442">
        <f t="shared" ref="B147:B151" si="19">SUM(C147:I147)</f>
        <v>0</v>
      </c>
      <c r="C147" s="1381">
        <f>IF(AND($B$133=0,D131=0),C146,IF(AND($B$133=0,D146&gt;0,C131&gt;0),D146,IF(AND($B$7&gt;2,C133=0,D133=0,D146+C145&lt;C131),D146,IF(AND($B$7&gt;2,C133=0,D133=0,D146+C145&gt;C131),C131+D131-B145,IF(AND($B$7=2,C133&gt;0,D10="nur Mehrbedarf",D150+D131&gt;D141,C141&gt;C131),C131,$B$146*C133)))))</f>
        <v>0</v>
      </c>
      <c r="D147" s="1381">
        <f>IF(AND($B$133=0,C131=0),D146,IF(AND($B$133=0,C146&gt;0,D131&gt;0),C146,IF(AND($B$7&gt;2,D131&gt;0,D133=0,C133=0,C146+D145&lt;D131),C146,IF(AND(B7&gt;2,D131&gt;0,C133=0,D133=0,C146+D145&gt;D131),C131+D131-B145,IF(AND($B$7=2,C10="nur Mehrbedarf",D133&gt;0,C150+C131&gt;C141,D141&gt;D131),D131,$B$146*D133)))))</f>
        <v>0</v>
      </c>
      <c r="E147" s="1381">
        <f>IF(AND($C$150&gt;0,$C$146=0,$B$146*E133&gt;E131,$D$146&lt;$D$131+SUM($E$131:$I$131)),E131,IF(AND($D$150&gt;0,$D$146=0,$B$146*E133&gt;E131,$C$146&lt;$C$131+SUM($E$131:$I$131)),E131,IF(AND($B$7&gt;2,$C$133=0,$D$133=0,$C$131+$D$131&gt;$B$141),0,IF(AND($B$7&gt;2,E131&gt;0,$C$133=0,$D$133=0,$C$131+$D$131&lt;$B$141),($B$141-($C$131+$D$131))*E133,$B$146*E133))))</f>
        <v>0</v>
      </c>
      <c r="F147" s="1381">
        <f t="shared" ref="F147:I147" si="20">IF(AND($C$150&gt;0,$C$146=0,$B$146*F133&gt;F131,$D$146&lt;$D$131+SUM($E$131:$I$131)),F131,IF(AND($D$150&gt;0,$D$146=0,$B$146*F133&gt;F131,$C$146&lt;$C$131+SUM($E$131:$I$131)),F131,IF(AND($B$7&gt;2,$C$133=0,$D$133=0,$C$131+$D$131&gt;$B$141),0,IF(AND($B$7&gt;2,F131&gt;0,$C$133=0,$D$133=0,$C$131+$D$131&lt;$B$141),($B$141-($C$131+$D$131))*F133,$B$146*F133))))</f>
        <v>0</v>
      </c>
      <c r="G147" s="1381">
        <f t="shared" si="20"/>
        <v>0</v>
      </c>
      <c r="H147" s="1376">
        <f t="shared" si="20"/>
        <v>0</v>
      </c>
      <c r="I147" s="1382">
        <f t="shared" si="20"/>
        <v>0</v>
      </c>
      <c r="J147" s="1737"/>
    </row>
    <row r="148" spans="1:12" ht="18.75" customHeight="1" thickBot="1">
      <c r="A148" s="1456">
        <f>IF(B148&gt;0,"./. verteiltes Einkommen",0)</f>
        <v>0</v>
      </c>
      <c r="B148" s="1393">
        <f t="shared" si="19"/>
        <v>0</v>
      </c>
      <c r="C148" s="1443">
        <f>IF(C147&lt;0,0,IF(AND(C150&gt;0,D146&gt;0,D146&lt;&gt;C147,C146&gt;0,C145&lt;C131+C150),C146+C147,IF(AND(D133&gt;0,C133=0,D146&gt;D147+E147+F147+G147+H147+I147),D146-D147-E147-F147-G147-H147-I147,IF(AND($B$7=2,$B$133=0,C146&gt;0,D146&gt;0),C146,IF(AND($B$7&gt;2,C133+D133=0,C146&gt;0,D146&gt;0),($B$146-E147-F147-G147-H147-I147)*C131/(C131+D131),C147)))))</f>
        <v>0</v>
      </c>
      <c r="D148" s="1443">
        <f>IF(D147&lt;0,0,IF(AND(D150&gt;0,C146&gt;0,C146&lt;&gt;D147,D146&gt;0,D145&lt;D131+D150),D146+D147,IF(AND(C133&gt;0,D133=0,C146&gt;C147+E147+F147+G147+H147+I147),C146-C147-E147-F147-G147-H147-I147,IF(AND($B$7=2,$B$133=0,C146&gt;0,D146&gt;0),D146,IF(AND($B$7&gt;2,C133+D133=0,C146&gt;0,D146&gt;0),($B$146-E147-F147-G147-H147-I147)*D131/(C131+D131),D147)))))</f>
        <v>0</v>
      </c>
      <c r="E148" s="1444">
        <f>IF(AND($C$147=0,$D$147=0,$B$147&lt;$B$146),$B$146*E133,E147)</f>
        <v>0</v>
      </c>
      <c r="F148" s="1444">
        <f>IF(AND($C$147=0,$D$147=0,$B$147&lt;$B$146),$B$146*F133,F147)</f>
        <v>0</v>
      </c>
      <c r="G148" s="1444">
        <f>IF(AND($C$147=0,$D$147=0,$B$147&lt;$B$146),$B$146*G133,G147)</f>
        <v>0</v>
      </c>
      <c r="H148" s="1445">
        <f>IF(AND($C$147=0,$D$147=0,$B$147&lt;$B$146),$B$146*H133,H147)</f>
        <v>0</v>
      </c>
      <c r="I148" s="1446">
        <f>IF(AND($C$147=0,$D$147=0,$B$147&lt;$B$146),$B$146*I133,I147)</f>
        <v>0</v>
      </c>
      <c r="J148" s="1737"/>
    </row>
    <row r="149" spans="1:12" ht="19.5" customHeight="1" thickTop="1">
      <c r="A149" s="1460" t="s">
        <v>125</v>
      </c>
      <c r="B149" s="1461">
        <f t="shared" si="19"/>
        <v>416</v>
      </c>
      <c r="C149" s="1461">
        <f>C131-C145-C148</f>
        <v>416</v>
      </c>
      <c r="D149" s="1461">
        <f>D131-D145-D148</f>
        <v>0</v>
      </c>
      <c r="E149" s="1461">
        <f>E131-E148</f>
        <v>0</v>
      </c>
      <c r="F149" s="1461">
        <f>F131-F148</f>
        <v>0</v>
      </c>
      <c r="G149" s="1461">
        <f>G131-G148</f>
        <v>0</v>
      </c>
      <c r="H149" s="1462">
        <f>H131-H148</f>
        <v>0</v>
      </c>
      <c r="I149" s="1463">
        <f>I131-I148</f>
        <v>0</v>
      </c>
      <c r="J149" s="1737"/>
    </row>
    <row r="150" spans="1:12" ht="18" customHeight="1">
      <c r="A150" s="1364">
        <f>IF(B150&gt;0,"Mehrbedarf nach § 27 (2) SGB II",0)</f>
        <v>0</v>
      </c>
      <c r="B150" s="1454">
        <f t="shared" si="19"/>
        <v>0</v>
      </c>
      <c r="C150" s="1378">
        <f>IF(C10="nur Mehrbedarf",Zusatzeingaben!C45+Zusatzeingaben!B46+Zusatzeingaben!C93+Zusatzeingaben!C94,0)</f>
        <v>0</v>
      </c>
      <c r="D150" s="1378">
        <f>IF(D10="nur Mehrbedarf",Zusatzeingaben!D45+Zusatzeingaben!D93+Zusatzeingaben!D94,0)</f>
        <v>0</v>
      </c>
      <c r="E150" s="1381"/>
      <c r="F150" s="1381"/>
      <c r="G150" s="1381"/>
      <c r="H150" s="1376"/>
      <c r="I150" s="1382"/>
      <c r="J150" s="1737"/>
    </row>
    <row r="151" spans="1:12" ht="17.25" customHeight="1">
      <c r="A151" s="1457">
        <f>IF(B151&gt;0,"./. Überschuss",0)</f>
        <v>0</v>
      </c>
      <c r="B151" s="1422">
        <f t="shared" si="19"/>
        <v>0</v>
      </c>
      <c r="C151" s="1381">
        <f>IF(AND(C10="nur Mehrbedarf",$B$149&lt;0,D149&lt;0),$B$149*-1,IF(AND(C10="nur Mehrbedarf",$B$149&lt;0,$E$149&lt;0),$B$149*-1,IF(AND(C10="nur Mehrbedarf",D149&gt;=0,C149&lt;0),C149*-1,0)))</f>
        <v>0</v>
      </c>
      <c r="D151" s="1381">
        <f>IF(AND(D10="nur Mehrbedarf",$B$149&lt;0,C149&lt;0),$B$149*-1,IF(AND(D10="nur Mehrbedarf",$B$149&lt;0,$E$149&lt;0),$B$149*-1,IF(AND(D10="nur Mehrbedarf",C149&gt;=0,D149&lt;0),D149*-1,0)))</f>
        <v>0</v>
      </c>
      <c r="E151" s="1381"/>
      <c r="F151" s="1381"/>
      <c r="G151" s="1381"/>
      <c r="H151" s="1376"/>
      <c r="I151" s="1382"/>
      <c r="J151" s="1737"/>
    </row>
    <row r="152" spans="1:12" ht="17.25" hidden="1" customHeight="1">
      <c r="A152" s="1368"/>
      <c r="B152" s="1447"/>
      <c r="C152" s="1448">
        <f>C149-C157</f>
        <v>416</v>
      </c>
      <c r="D152" s="1448">
        <f t="shared" ref="D152:I152" si="21">D149-D157</f>
        <v>0</v>
      </c>
      <c r="E152" s="1448">
        <f t="shared" si="21"/>
        <v>0</v>
      </c>
      <c r="F152" s="1448">
        <f t="shared" si="21"/>
        <v>0</v>
      </c>
      <c r="G152" s="1448">
        <f t="shared" si="21"/>
        <v>0</v>
      </c>
      <c r="H152" s="1449">
        <f t="shared" si="21"/>
        <v>0</v>
      </c>
      <c r="I152" s="1450">
        <f t="shared" si="21"/>
        <v>0</v>
      </c>
      <c r="J152" s="1737"/>
    </row>
    <row r="153" spans="1:12" ht="17.25" hidden="1" customHeight="1">
      <c r="A153" s="1369"/>
      <c r="B153" s="1392"/>
      <c r="C153" s="1448">
        <f>IF(Zusatzeingaben!C221="einmal",C11*10%,IF(Zusatzeingaben!C221="zweimal",C11*20%,IF(Zusatzeingaben!C221="dreimal",C11*30%,0)))</f>
        <v>0</v>
      </c>
      <c r="D153" s="1448">
        <f>IF(Zusatzeingaben!D221="einmal",D11*10%,IF(Zusatzeingaben!D221="zweimal",D11*20%,IF(Zusatzeingaben!D221="dreimal",D11*30%,0)))</f>
        <v>0</v>
      </c>
      <c r="E153" s="1448">
        <f>IF(Zusatzeingaben!E221="einmal",E11*10%,IF(Zusatzeingaben!E221="zweimal",E11*20%,IF(Zusatzeingaben!E221="dreimal",E11*30%,0)))</f>
        <v>0</v>
      </c>
      <c r="F153" s="1448">
        <f>IF(Zusatzeingaben!F221="einmal",F11*10%,IF(Zusatzeingaben!F221="zweimal",F11*20%,IF(Zusatzeingaben!F221="dreimal",F11*30%,0)))</f>
        <v>0</v>
      </c>
      <c r="G153" s="1448">
        <f>IF(Zusatzeingaben!G221="einmal",G11*10%,IF(Zusatzeingaben!G221="zweimal",G11*20%,IF(Zusatzeingaben!G221="dreimal",G11*30%,0)))</f>
        <v>0</v>
      </c>
      <c r="H153" s="1449">
        <f>IF(Zusatzeingaben!H221="einmal",H11*10%,IF(Zusatzeingaben!H221="zweimal",H11*20%,IF(Zusatzeingaben!H221="dreimal",H11*30%,0)))</f>
        <v>0</v>
      </c>
      <c r="I153" s="1450">
        <f>IF(Zusatzeingaben!I221="einmal",I11*10%,IF(Zusatzeingaben!I221="zweimal",I11*20%,IF(Zusatzeingaben!I221="dreimal",I11*30%,0)))</f>
        <v>0</v>
      </c>
      <c r="J153" s="1737"/>
    </row>
    <row r="154" spans="1:12" ht="17.25" hidden="1" customHeight="1">
      <c r="A154" s="1368"/>
      <c r="B154" s="1392"/>
      <c r="C154" s="1381">
        <f t="shared" ref="C154:I154" si="22">IF(C152&gt;C149,C149,C152)</f>
        <v>416</v>
      </c>
      <c r="D154" s="1381">
        <f t="shared" si="22"/>
        <v>0</v>
      </c>
      <c r="E154" s="1381">
        <f t="shared" si="22"/>
        <v>0</v>
      </c>
      <c r="F154" s="1381">
        <f t="shared" si="22"/>
        <v>0</v>
      </c>
      <c r="G154" s="1381">
        <f t="shared" si="22"/>
        <v>0</v>
      </c>
      <c r="H154" s="1376">
        <f t="shared" si="22"/>
        <v>0</v>
      </c>
      <c r="I154" s="1382">
        <f t="shared" si="22"/>
        <v>0</v>
      </c>
      <c r="J154" s="1737"/>
    </row>
    <row r="155" spans="1:12" ht="17.25" customHeight="1">
      <c r="A155" s="1457">
        <f>IF(B155&gt;0,"./. Minderung Meldeversäumnis",0)</f>
        <v>0</v>
      </c>
      <c r="B155" s="1392">
        <f>SUM(C155:I155)</f>
        <v>0</v>
      </c>
      <c r="C155" s="1381">
        <f>IF(OR(C149&lt;0,C153=0),0,MIN(C154,C153))</f>
        <v>0</v>
      </c>
      <c r="D155" s="1381">
        <f t="shared" ref="D155:I155" si="23">IF(OR(D149&lt;0,D153=0),0,MIN(D154,D153))</f>
        <v>0</v>
      </c>
      <c r="E155" s="1381">
        <f t="shared" si="23"/>
        <v>0</v>
      </c>
      <c r="F155" s="1381">
        <f t="shared" si="23"/>
        <v>0</v>
      </c>
      <c r="G155" s="1381">
        <f t="shared" si="23"/>
        <v>0</v>
      </c>
      <c r="H155" s="1376">
        <f t="shared" si="23"/>
        <v>0</v>
      </c>
      <c r="I155" s="1382">
        <f t="shared" si="23"/>
        <v>0</v>
      </c>
      <c r="J155" s="1737"/>
    </row>
    <row r="156" spans="1:12" ht="17.25" hidden="1" customHeight="1">
      <c r="A156" s="1370"/>
      <c r="B156" s="1451"/>
      <c r="C156" s="1395">
        <f>Zusatzeingaben!C225</f>
        <v>0</v>
      </c>
      <c r="D156" s="1395">
        <f>Zusatzeingaben!D225</f>
        <v>0</v>
      </c>
      <c r="E156" s="1395">
        <f>Zusatzeingaben!E225</f>
        <v>0</v>
      </c>
      <c r="F156" s="1395">
        <f>Zusatzeingaben!F225</f>
        <v>0</v>
      </c>
      <c r="G156" s="1395">
        <f>Zusatzeingaben!G225</f>
        <v>0</v>
      </c>
      <c r="H156" s="1426">
        <f>Zusatzeingaben!H225</f>
        <v>0</v>
      </c>
      <c r="I156" s="1396">
        <f>Zusatzeingaben!I225</f>
        <v>0</v>
      </c>
      <c r="J156" s="1737"/>
    </row>
    <row r="157" spans="1:12" ht="17.25" hidden="1" customHeight="1">
      <c r="A157" s="1323"/>
      <c r="B157" s="1452"/>
      <c r="C157" s="1448">
        <f t="shared" ref="C157:I157" si="24">IF(C156&gt;C149,C149,C156)</f>
        <v>0</v>
      </c>
      <c r="D157" s="1448">
        <f t="shared" si="24"/>
        <v>0</v>
      </c>
      <c r="E157" s="1448">
        <f t="shared" si="24"/>
        <v>0</v>
      </c>
      <c r="F157" s="1448">
        <f t="shared" si="24"/>
        <v>0</v>
      </c>
      <c r="G157" s="1448">
        <f t="shared" si="24"/>
        <v>0</v>
      </c>
      <c r="H157" s="1449">
        <f t="shared" si="24"/>
        <v>0</v>
      </c>
      <c r="I157" s="1450">
        <f t="shared" si="24"/>
        <v>0</v>
      </c>
      <c r="J157" s="1737"/>
    </row>
    <row r="158" spans="1:12" ht="18" customHeight="1" thickBot="1">
      <c r="A158" s="1458">
        <f>IF(B158&gt;0,"./. Minderung Pflichtverletzung",0)</f>
        <v>0</v>
      </c>
      <c r="B158" s="1453">
        <f>SUM(C158:I158)</f>
        <v>0</v>
      </c>
      <c r="C158" s="1390">
        <f>IF(C157&lt;0,0,C157)</f>
        <v>0</v>
      </c>
      <c r="D158" s="1390">
        <f t="shared" ref="D158:I158" si="25">IF(D157&lt;0,0,D157)</f>
        <v>0</v>
      </c>
      <c r="E158" s="1390">
        <f t="shared" si="25"/>
        <v>0</v>
      </c>
      <c r="F158" s="1390">
        <f t="shared" si="25"/>
        <v>0</v>
      </c>
      <c r="G158" s="1390">
        <f t="shared" si="25"/>
        <v>0</v>
      </c>
      <c r="H158" s="1389">
        <f t="shared" si="25"/>
        <v>0</v>
      </c>
      <c r="I158" s="1391">
        <f t="shared" si="25"/>
        <v>0</v>
      </c>
      <c r="J158" s="1737"/>
    </row>
    <row r="159" spans="1:12" s="212" customFormat="1" ht="16.5" hidden="1" customHeight="1" thickTop="1">
      <c r="A159" s="1333"/>
      <c r="B159" s="1335"/>
      <c r="C159" s="1337">
        <f>IF(C10="nur Mehrbedarf",C150-C151,0)</f>
        <v>0</v>
      </c>
      <c r="D159" s="1337">
        <f>IF(D10="nur Mehrbedarf",D150-D151,0)</f>
        <v>0</v>
      </c>
      <c r="E159" s="1337"/>
      <c r="F159" s="1337"/>
      <c r="G159" s="1337"/>
      <c r="H159" s="1339"/>
      <c r="I159" s="1014"/>
      <c r="J159" s="1737"/>
      <c r="K159" s="424"/>
      <c r="L159" s="424"/>
    </row>
    <row r="160" spans="1:12" ht="17.25" hidden="1" customHeight="1">
      <c r="A160" s="1334"/>
      <c r="B160" s="1336">
        <f>SUM(C160:I160)</f>
        <v>416</v>
      </c>
      <c r="C160" s="1336">
        <f>IF(C10="nur Mehrbedarf",C159,C149-C155-C158)</f>
        <v>416</v>
      </c>
      <c r="D160" s="1336">
        <f t="shared" ref="D160:I160" si="26">IF(D10="nur Mehrbedarf",D159,D149-D155-D158)</f>
        <v>0</v>
      </c>
      <c r="E160" s="1336">
        <f t="shared" si="26"/>
        <v>0</v>
      </c>
      <c r="F160" s="1336">
        <f t="shared" si="26"/>
        <v>0</v>
      </c>
      <c r="G160" s="1336">
        <f t="shared" si="26"/>
        <v>0</v>
      </c>
      <c r="H160" s="1340">
        <f t="shared" si="26"/>
        <v>0</v>
      </c>
      <c r="I160" s="1338">
        <f t="shared" si="26"/>
        <v>0</v>
      </c>
      <c r="J160" s="1737"/>
    </row>
    <row r="161" spans="1:10" ht="24" customHeight="1" thickTop="1" thickBot="1">
      <c r="A161" s="1341" t="s">
        <v>27</v>
      </c>
      <c r="B161" s="1342">
        <f>SUM(C161:I161)</f>
        <v>416</v>
      </c>
      <c r="C161" s="1342">
        <f t="shared" ref="C161:I161" si="27">IF(C10="nein",0,IF(C160&lt;0,0,C160))</f>
        <v>416</v>
      </c>
      <c r="D161" s="1342">
        <f t="shared" si="27"/>
        <v>0</v>
      </c>
      <c r="E161" s="1342">
        <f t="shared" si="27"/>
        <v>0</v>
      </c>
      <c r="F161" s="1342">
        <f t="shared" si="27"/>
        <v>0</v>
      </c>
      <c r="G161" s="1343">
        <f t="shared" si="27"/>
        <v>0</v>
      </c>
      <c r="H161" s="1344">
        <f t="shared" si="27"/>
        <v>0</v>
      </c>
      <c r="I161" s="1345">
        <f t="shared" si="27"/>
        <v>0</v>
      </c>
      <c r="J161" s="1737"/>
    </row>
    <row r="162" spans="1:10" ht="15" customHeight="1">
      <c r="A162" s="1763" t="s">
        <v>2369</v>
      </c>
      <c r="J162" s="1737"/>
    </row>
    <row r="163" spans="1:10" ht="14.25" hidden="1" customHeight="1">
      <c r="J163" s="1737"/>
    </row>
    <row r="164" spans="1:10" ht="20.25">
      <c r="A164" s="335"/>
      <c r="B164" s="330"/>
      <c r="C164" s="331"/>
      <c r="D164" s="331"/>
      <c r="E164" s="331"/>
      <c r="F164" s="331"/>
      <c r="G164" s="331"/>
      <c r="H164" s="331"/>
      <c r="I164" s="331"/>
      <c r="J164" s="1737"/>
    </row>
    <row r="165" spans="1:10" ht="21" hidden="1" customHeight="1" thickBot="1">
      <c r="A165" s="336"/>
      <c r="B165" s="337"/>
      <c r="C165" s="337"/>
      <c r="D165" s="337"/>
      <c r="E165" s="337"/>
      <c r="F165" s="337"/>
      <c r="G165" s="337"/>
      <c r="H165" s="337"/>
      <c r="I165" s="337"/>
      <c r="J165" s="1737"/>
    </row>
    <row r="166" spans="1:10" ht="21" hidden="1" customHeight="1">
      <c r="A166" s="2104" t="s">
        <v>130</v>
      </c>
      <c r="B166" s="2105"/>
      <c r="C166" s="2105"/>
      <c r="D166" s="2105"/>
      <c r="E166" s="2105"/>
      <c r="F166" s="2105"/>
      <c r="G166" s="2105"/>
      <c r="H166" s="2105"/>
      <c r="I166" s="2106"/>
      <c r="J166" s="1737"/>
    </row>
    <row r="167" spans="1:10" ht="18.75" hidden="1" customHeight="1">
      <c r="A167" s="224"/>
      <c r="B167" s="1002" t="s">
        <v>1</v>
      </c>
      <c r="C167" s="1002" t="str">
        <f>IF(Zusatzeingaben!C6&lt;&gt;0,Zusatzeingaben!C6,Zusatzeingaben!C4)</f>
        <v>Antragsteller</v>
      </c>
      <c r="D167" s="1002" t="str">
        <f>IF(Zusatzeingaben!D6&lt;&gt;0,Zusatzeingaben!D6,Zusatzeingaben!D4)</f>
        <v>Partner(in)</v>
      </c>
      <c r="E167" s="1002" t="str">
        <f>IF(Zusatzeingaben!E6&lt;&gt;0,Zusatzeingaben!E6,Zusatzeingaben!E4)</f>
        <v>Kind 1</v>
      </c>
      <c r="F167" s="1002" t="str">
        <f>IF(Zusatzeingaben!F6&lt;&gt;0,Zusatzeingaben!F6,Zusatzeingaben!F4)</f>
        <v>Kind 2</v>
      </c>
      <c r="G167" s="1002" t="str">
        <f>IF(Zusatzeingaben!G6&lt;&gt;0,Zusatzeingaben!G6,Zusatzeingaben!G4)</f>
        <v>Kind 3</v>
      </c>
      <c r="H167" s="1002" t="str">
        <f>IF(Zusatzeingaben!H6&lt;&gt;0,Zusatzeingaben!H6,Zusatzeingaben!H4)</f>
        <v>Kind 4</v>
      </c>
      <c r="I167" s="1003" t="str">
        <f>IF(Zusatzeingaben!I6&lt;&gt;0,Zusatzeingaben!I6,Zusatzeingaben!I4)</f>
        <v>Kind 5</v>
      </c>
      <c r="J167" s="1737"/>
    </row>
    <row r="168" spans="1:10" ht="18.75" hidden="1" customHeight="1">
      <c r="A168" s="224"/>
      <c r="B168" s="447"/>
      <c r="C168" s="448">
        <f t="shared" ref="C168:I168" si="28">IF(C10="ja",C11+C13+C14+C15+C16+C17+C18+C19,0)</f>
        <v>416</v>
      </c>
      <c r="D168" s="448">
        <f t="shared" si="28"/>
        <v>0</v>
      </c>
      <c r="E168" s="448">
        <f t="shared" si="28"/>
        <v>0</v>
      </c>
      <c r="F168" s="448">
        <f t="shared" si="28"/>
        <v>0</v>
      </c>
      <c r="G168" s="448">
        <f t="shared" si="28"/>
        <v>0</v>
      </c>
      <c r="H168" s="448">
        <f t="shared" si="28"/>
        <v>0</v>
      </c>
      <c r="I168" s="449">
        <f t="shared" si="28"/>
        <v>0</v>
      </c>
      <c r="J168" s="1737"/>
    </row>
    <row r="169" spans="1:10" ht="18.75" hidden="1" customHeight="1">
      <c r="A169" s="224" t="s">
        <v>131</v>
      </c>
      <c r="B169" s="1001">
        <f>SUM(C169:I169)</f>
        <v>416</v>
      </c>
      <c r="C169" s="295">
        <f t="shared" ref="C169:I169" si="29">IF(C10="ja",C11+C13+C14+C15+C16+C17+C18+C19+C49,IF(C10="nur Mehrbedarf",C161,0))</f>
        <v>416</v>
      </c>
      <c r="D169" s="295">
        <f t="shared" si="29"/>
        <v>0</v>
      </c>
      <c r="E169" s="295">
        <f t="shared" si="29"/>
        <v>0</v>
      </c>
      <c r="F169" s="295">
        <f t="shared" si="29"/>
        <v>0</v>
      </c>
      <c r="G169" s="295">
        <f t="shared" si="29"/>
        <v>0</v>
      </c>
      <c r="H169" s="295">
        <f t="shared" si="29"/>
        <v>0</v>
      </c>
      <c r="I169" s="296">
        <f t="shared" si="29"/>
        <v>0</v>
      </c>
      <c r="J169" s="1737"/>
    </row>
    <row r="170" spans="1:10" ht="18.75" hidden="1" customHeight="1">
      <c r="A170" s="450" t="s">
        <v>132</v>
      </c>
      <c r="B170" s="1001">
        <f>SUM(C170:I170)</f>
        <v>0</v>
      </c>
      <c r="C170" s="295">
        <f>C155+C158</f>
        <v>0</v>
      </c>
      <c r="D170" s="295">
        <f t="shared" ref="D170:I170" si="30">D155+D158</f>
        <v>0</v>
      </c>
      <c r="E170" s="295">
        <f t="shared" si="30"/>
        <v>0</v>
      </c>
      <c r="F170" s="295">
        <f t="shared" si="30"/>
        <v>0</v>
      </c>
      <c r="G170" s="295">
        <f t="shared" si="30"/>
        <v>0</v>
      </c>
      <c r="H170" s="295">
        <f t="shared" si="30"/>
        <v>0</v>
      </c>
      <c r="I170" s="296">
        <f t="shared" si="30"/>
        <v>0</v>
      </c>
      <c r="J170" s="1737"/>
    </row>
    <row r="171" spans="1:10" ht="19.5" hidden="1" customHeight="1" thickBot="1">
      <c r="A171" s="451" t="s">
        <v>133</v>
      </c>
      <c r="B171" s="1004">
        <f>SUM(C171:I171)</f>
        <v>0</v>
      </c>
      <c r="C171" s="312">
        <f>IF(C169=0,0,C148)</f>
        <v>0</v>
      </c>
      <c r="D171" s="312">
        <f>IF(D169=0,0,D148)</f>
        <v>0</v>
      </c>
      <c r="E171" s="312">
        <f>IF(E169=0,0,E128+E148)</f>
        <v>0</v>
      </c>
      <c r="F171" s="312">
        <f>IF(F169=0,0,F128+F148)</f>
        <v>0</v>
      </c>
      <c r="G171" s="312">
        <f>IF(G169=0,0,G128+G148)</f>
        <v>0</v>
      </c>
      <c r="H171" s="312">
        <f>IF(H169=0,0,H128+H148)</f>
        <v>0</v>
      </c>
      <c r="I171" s="313">
        <f>IF(I169=0,0,I128+I148)</f>
        <v>0</v>
      </c>
      <c r="J171" s="1737"/>
    </row>
    <row r="172" spans="1:10" ht="21" hidden="1" customHeight="1" thickTop="1">
      <c r="A172" s="243"/>
      <c r="B172" s="137"/>
      <c r="C172" s="452">
        <f t="shared" ref="C172:I172" si="31">IF(C168=0,0,C148)</f>
        <v>0</v>
      </c>
      <c r="D172" s="452">
        <f t="shared" si="31"/>
        <v>0</v>
      </c>
      <c r="E172" s="452">
        <f t="shared" si="31"/>
        <v>0</v>
      </c>
      <c r="F172" s="452">
        <f t="shared" si="31"/>
        <v>0</v>
      </c>
      <c r="G172" s="452">
        <f t="shared" si="31"/>
        <v>0</v>
      </c>
      <c r="H172" s="452">
        <f t="shared" si="31"/>
        <v>0</v>
      </c>
      <c r="I172" s="453">
        <f t="shared" si="31"/>
        <v>0</v>
      </c>
      <c r="J172" s="1737"/>
    </row>
    <row r="173" spans="1:10" ht="21" hidden="1" customHeight="1">
      <c r="A173" s="243"/>
      <c r="B173" s="137"/>
      <c r="C173" s="137">
        <f>C169-C170-C171</f>
        <v>416</v>
      </c>
      <c r="D173" s="137">
        <f t="shared" ref="D173:I173" si="32">D169-D170-D171</f>
        <v>0</v>
      </c>
      <c r="E173" s="137">
        <f t="shared" si="32"/>
        <v>0</v>
      </c>
      <c r="F173" s="137">
        <f t="shared" si="32"/>
        <v>0</v>
      </c>
      <c r="G173" s="137">
        <f t="shared" si="32"/>
        <v>0</v>
      </c>
      <c r="H173" s="137">
        <f t="shared" si="32"/>
        <v>0</v>
      </c>
      <c r="I173" s="175">
        <f t="shared" si="32"/>
        <v>0</v>
      </c>
      <c r="J173" s="1737"/>
    </row>
    <row r="174" spans="1:10" ht="21" hidden="1" customHeight="1">
      <c r="A174" s="243"/>
      <c r="B174" s="137"/>
      <c r="C174" s="454">
        <f>C168-C172</f>
        <v>416</v>
      </c>
      <c r="D174" s="454">
        <f t="shared" ref="D174:I174" si="33">D168-D171</f>
        <v>0</v>
      </c>
      <c r="E174" s="454">
        <f t="shared" si="33"/>
        <v>0</v>
      </c>
      <c r="F174" s="454">
        <f t="shared" si="33"/>
        <v>0</v>
      </c>
      <c r="G174" s="454">
        <f t="shared" si="33"/>
        <v>0</v>
      </c>
      <c r="H174" s="454">
        <f t="shared" si="33"/>
        <v>0</v>
      </c>
      <c r="I174" s="455">
        <f t="shared" si="33"/>
        <v>0</v>
      </c>
      <c r="J174" s="1737"/>
    </row>
    <row r="175" spans="1:10" ht="21" hidden="1" customHeight="1" thickTop="1" thickBot="1">
      <c r="A175" s="456" t="s">
        <v>134</v>
      </c>
      <c r="B175" s="457">
        <f>SUM(C175:I175)</f>
        <v>416</v>
      </c>
      <c r="C175" s="457">
        <f t="shared" ref="C175:I176" si="34">IF(C173&lt;0,0,C173)</f>
        <v>416</v>
      </c>
      <c r="D175" s="457">
        <f t="shared" si="34"/>
        <v>0</v>
      </c>
      <c r="E175" s="457">
        <f t="shared" si="34"/>
        <v>0</v>
      </c>
      <c r="F175" s="457">
        <f t="shared" si="34"/>
        <v>0</v>
      </c>
      <c r="G175" s="457">
        <f t="shared" si="34"/>
        <v>0</v>
      </c>
      <c r="H175" s="457">
        <f t="shared" si="34"/>
        <v>0</v>
      </c>
      <c r="I175" s="458">
        <f t="shared" si="34"/>
        <v>0</v>
      </c>
      <c r="J175" s="1737"/>
    </row>
    <row r="176" spans="1:10" ht="21" hidden="1" customHeight="1" thickBot="1">
      <c r="A176" s="459"/>
      <c r="B176" s="337"/>
      <c r="C176" s="460">
        <f t="shared" si="34"/>
        <v>416</v>
      </c>
      <c r="D176" s="460">
        <f t="shared" si="34"/>
        <v>0</v>
      </c>
      <c r="E176" s="460">
        <f t="shared" si="34"/>
        <v>0</v>
      </c>
      <c r="F176" s="460">
        <f t="shared" si="34"/>
        <v>0</v>
      </c>
      <c r="G176" s="460">
        <f t="shared" si="34"/>
        <v>0</v>
      </c>
      <c r="H176" s="460">
        <f t="shared" si="34"/>
        <v>0</v>
      </c>
      <c r="I176" s="461">
        <f t="shared" si="34"/>
        <v>0</v>
      </c>
      <c r="J176" s="1737"/>
    </row>
    <row r="177" spans="1:10" ht="21" hidden="1" customHeight="1" thickBot="1">
      <c r="A177" s="462" t="s">
        <v>154</v>
      </c>
      <c r="B177" s="1296"/>
      <c r="C177" s="464">
        <f t="shared" ref="C177:I178" si="35">IF(C173&lt;0,C173,0)*-1</f>
        <v>0</v>
      </c>
      <c r="D177" s="464">
        <f t="shared" si="35"/>
        <v>0</v>
      </c>
      <c r="E177" s="464">
        <f t="shared" si="35"/>
        <v>0</v>
      </c>
      <c r="F177" s="464">
        <f t="shared" si="35"/>
        <v>0</v>
      </c>
      <c r="G177" s="464">
        <f t="shared" si="35"/>
        <v>0</v>
      </c>
      <c r="H177" s="464">
        <f t="shared" si="35"/>
        <v>0</v>
      </c>
      <c r="I177" s="465">
        <f t="shared" si="35"/>
        <v>0</v>
      </c>
      <c r="J177" s="1737"/>
    </row>
    <row r="178" spans="1:10" ht="21" hidden="1" customHeight="1">
      <c r="A178" s="243"/>
      <c r="B178" s="1295"/>
      <c r="C178" s="466">
        <f t="shared" si="35"/>
        <v>0</v>
      </c>
      <c r="D178" s="466">
        <f t="shared" si="35"/>
        <v>0</v>
      </c>
      <c r="E178" s="466">
        <f t="shared" si="35"/>
        <v>0</v>
      </c>
      <c r="F178" s="466">
        <f t="shared" si="35"/>
        <v>0</v>
      </c>
      <c r="G178" s="466">
        <f t="shared" si="35"/>
        <v>0</v>
      </c>
      <c r="H178" s="466">
        <f t="shared" si="35"/>
        <v>0</v>
      </c>
      <c r="I178" s="467">
        <f t="shared" si="35"/>
        <v>0</v>
      </c>
      <c r="J178" s="1737"/>
    </row>
    <row r="179" spans="1:10" ht="21" hidden="1" customHeight="1">
      <c r="A179" s="468" t="s">
        <v>135</v>
      </c>
      <c r="B179" s="1051">
        <f>SUM(C179:I179)</f>
        <v>0</v>
      </c>
      <c r="C179" s="469">
        <f t="shared" ref="C179:I179" si="36">IF(C10="ja",C47,0)</f>
        <v>0</v>
      </c>
      <c r="D179" s="469">
        <f t="shared" si="36"/>
        <v>0</v>
      </c>
      <c r="E179" s="469">
        <f t="shared" si="36"/>
        <v>0</v>
      </c>
      <c r="F179" s="469">
        <f t="shared" si="36"/>
        <v>0</v>
      </c>
      <c r="G179" s="469">
        <f t="shared" si="36"/>
        <v>0</v>
      </c>
      <c r="H179" s="469">
        <f t="shared" si="36"/>
        <v>0</v>
      </c>
      <c r="I179" s="470">
        <f t="shared" si="36"/>
        <v>0</v>
      </c>
      <c r="J179" s="1737"/>
    </row>
    <row r="180" spans="1:10" ht="21" hidden="1" customHeight="1" thickBot="1">
      <c r="A180" s="451" t="s">
        <v>136</v>
      </c>
      <c r="B180" s="1297">
        <f>SUM(C180:I180)</f>
        <v>0</v>
      </c>
      <c r="C180" s="312">
        <f t="shared" ref="C180:I180" si="37">IF(C179&lt;C177,C179,C177)</f>
        <v>0</v>
      </c>
      <c r="D180" s="312">
        <f t="shared" si="37"/>
        <v>0</v>
      </c>
      <c r="E180" s="312">
        <f t="shared" si="37"/>
        <v>0</v>
      </c>
      <c r="F180" s="312">
        <f t="shared" si="37"/>
        <v>0</v>
      </c>
      <c r="G180" s="312">
        <f t="shared" si="37"/>
        <v>0</v>
      </c>
      <c r="H180" s="312">
        <f t="shared" si="37"/>
        <v>0</v>
      </c>
      <c r="I180" s="313">
        <f t="shared" si="37"/>
        <v>0</v>
      </c>
      <c r="J180" s="1737"/>
    </row>
    <row r="181" spans="1:10" ht="21" hidden="1" customHeight="1" thickTop="1" thickBot="1">
      <c r="A181" s="262"/>
      <c r="B181" s="320"/>
      <c r="C181" s="472">
        <f>IF(C179&lt;C178,C179,C178)</f>
        <v>0</v>
      </c>
      <c r="D181" s="472">
        <f t="shared" ref="D181:I181" si="38">IF(D179&lt;D178,D179,D178)</f>
        <v>0</v>
      </c>
      <c r="E181" s="472">
        <f t="shared" si="38"/>
        <v>0</v>
      </c>
      <c r="F181" s="472">
        <f t="shared" si="38"/>
        <v>0</v>
      </c>
      <c r="G181" s="472">
        <f t="shared" si="38"/>
        <v>0</v>
      </c>
      <c r="H181" s="472">
        <f t="shared" si="38"/>
        <v>0</v>
      </c>
      <c r="I181" s="473">
        <f t="shared" si="38"/>
        <v>0</v>
      </c>
      <c r="J181" s="1737"/>
    </row>
    <row r="182" spans="1:10" ht="21" hidden="1" customHeight="1" thickTop="1" thickBot="1">
      <c r="A182" s="262"/>
      <c r="B182" s="320"/>
      <c r="C182" s="474">
        <f>C179-C181</f>
        <v>0</v>
      </c>
      <c r="D182" s="474">
        <f t="shared" ref="D182:I182" si="39">D179-D181</f>
        <v>0</v>
      </c>
      <c r="E182" s="474">
        <f t="shared" si="39"/>
        <v>0</v>
      </c>
      <c r="F182" s="474">
        <f t="shared" si="39"/>
        <v>0</v>
      </c>
      <c r="G182" s="474">
        <f t="shared" si="39"/>
        <v>0</v>
      </c>
      <c r="H182" s="474">
        <f t="shared" si="39"/>
        <v>0</v>
      </c>
      <c r="I182" s="475">
        <f t="shared" si="39"/>
        <v>0</v>
      </c>
      <c r="J182" s="1737"/>
    </row>
    <row r="183" spans="1:10" ht="21" hidden="1" customHeight="1" thickTop="1" thickBot="1">
      <c r="A183" s="476" t="s">
        <v>137</v>
      </c>
      <c r="B183" s="477">
        <f>SUM(C183:I183)</f>
        <v>0</v>
      </c>
      <c r="C183" s="478">
        <f>IF(C180&lt;0,C179,C179-C180)</f>
        <v>0</v>
      </c>
      <c r="D183" s="478">
        <f t="shared" ref="D183:I183" si="40">IF(D180&lt;0,D179,D179-D180)</f>
        <v>0</v>
      </c>
      <c r="E183" s="478">
        <f t="shared" si="40"/>
        <v>0</v>
      </c>
      <c r="F183" s="478">
        <f t="shared" si="40"/>
        <v>0</v>
      </c>
      <c r="G183" s="478">
        <f t="shared" si="40"/>
        <v>0</v>
      </c>
      <c r="H183" s="478">
        <f t="shared" si="40"/>
        <v>0</v>
      </c>
      <c r="I183" s="479">
        <f t="shared" si="40"/>
        <v>0</v>
      </c>
      <c r="J183" s="1737"/>
    </row>
    <row r="184" spans="1:10" ht="18" hidden="1" customHeight="1">
      <c r="A184" s="336"/>
      <c r="B184" s="337"/>
      <c r="C184" s="337"/>
      <c r="D184" s="337"/>
      <c r="E184" s="337"/>
      <c r="F184" s="337"/>
      <c r="G184" s="337"/>
      <c r="H184" s="337"/>
      <c r="I184" s="337"/>
    </row>
    <row r="185" spans="1:10" hidden="1"/>
    <row r="186" spans="1:10" ht="18.75" customHeight="1"/>
    <row r="187" spans="1:10">
      <c r="A187" s="608" t="s">
        <v>114</v>
      </c>
      <c r="B187" s="609"/>
      <c r="C187" s="327"/>
      <c r="D187" s="327"/>
      <c r="F187" s="216"/>
      <c r="G187" s="217"/>
      <c r="H187" s="217"/>
      <c r="I187" s="217"/>
    </row>
    <row r="188" spans="1:10">
      <c r="A188" s="327" t="s">
        <v>45</v>
      </c>
      <c r="B188" s="612">
        <f>IF(AND(C$58=0,C$54&lt;=100),0,IF(AND(C$58=0,C$54&lt;=1000),C$54-100,IF(AND(C$58=0,C$54&gt;1000),1000-100,IF(AND(C$58&gt;0,C$54+C$58&lt;=100),0,IF(AND(C$58&gt;0,C$58+C$54&lt;=1000),C$58+C$54-100,IF(AND(C$58&gt;0,C$58+C$54&gt;1000),1000-100))))))</f>
        <v>0</v>
      </c>
      <c r="C188" s="327" t="s">
        <v>28</v>
      </c>
      <c r="D188" s="137">
        <f>B188*20/100</f>
        <v>0</v>
      </c>
      <c r="F188" s="217"/>
      <c r="G188" s="217"/>
      <c r="H188" s="217"/>
      <c r="I188" s="215"/>
    </row>
    <row r="189" spans="1:10">
      <c r="A189" s="327" t="s">
        <v>159</v>
      </c>
      <c r="B189" s="137">
        <f>IF(C$54+C$58&lt;1000.01,0,IF(AND(C$54+C$58&gt;1000,C$54+C$58&lt;=1200),C$54+C$58-1000,IF(AND(C$54+C$58&gt;1200,C8="ja",C$54+C$58&lt;=1500),C$54+C$58-1000,IF(AND(C$54+C$58&gt;1200,C8="nein",C$54+C$58&lt;=1500),1200-1000,IF(AND(C$54+C$58&gt;=1500,C8="ja"),1500-1000,IF(AND(C$54+C$58&gt;1500,C8="nein"),1200-1000))))))</f>
        <v>0</v>
      </c>
      <c r="C189" s="327" t="s">
        <v>29</v>
      </c>
      <c r="D189" s="137">
        <f>B189*10/100</f>
        <v>0</v>
      </c>
      <c r="F189" s="217"/>
      <c r="G189" s="217"/>
      <c r="H189" s="217"/>
      <c r="I189" s="215"/>
    </row>
    <row r="190" spans="1:10">
      <c r="A190" s="610" t="s">
        <v>30</v>
      </c>
      <c r="B190" s="327"/>
      <c r="C190" s="327"/>
      <c r="D190" s="611">
        <f>SUM(D188:D189)</f>
        <v>0</v>
      </c>
      <c r="F190" s="217"/>
      <c r="G190" s="217"/>
      <c r="H190" s="217"/>
      <c r="I190" s="215"/>
    </row>
    <row r="191" spans="1:10">
      <c r="A191" s="327"/>
      <c r="B191" s="327"/>
      <c r="C191" s="327"/>
      <c r="D191" s="327"/>
      <c r="F191" s="217"/>
      <c r="G191" s="217"/>
      <c r="H191" s="217"/>
      <c r="I191" s="215"/>
    </row>
    <row r="192" spans="1:10">
      <c r="A192" s="608" t="s">
        <v>113</v>
      </c>
      <c r="B192" s="609"/>
      <c r="C192" s="327"/>
      <c r="D192" s="327"/>
      <c r="F192" s="217"/>
      <c r="G192" s="217"/>
      <c r="H192" s="217"/>
      <c r="I192" s="217"/>
    </row>
    <row r="193" spans="1:9">
      <c r="A193" s="327" t="s">
        <v>45</v>
      </c>
      <c r="B193" s="137">
        <f>IF(AND(D$58=0,D$54&lt;=100),0,IF(AND(D$58=0,D$54&lt;=1000),D$54-100,IF(AND(D$58=0,D$54&gt;1000),1000-100,IF(AND(D$58&gt;0,D$54+D$58&lt;=100),0,IF(AND(D$58&gt;0,D$58+D$54&lt;=1000),D$58+D$54-100,IF(AND(D$58&gt;0,D$58+D$54&gt;1000),1000-100))))))</f>
        <v>0</v>
      </c>
      <c r="C193" s="327" t="s">
        <v>28</v>
      </c>
      <c r="D193" s="137">
        <f>B193*20/100</f>
        <v>0</v>
      </c>
      <c r="F193" s="217"/>
      <c r="G193" s="217"/>
      <c r="H193" s="217"/>
      <c r="I193" s="215"/>
    </row>
    <row r="194" spans="1:9">
      <c r="A194" s="327" t="s">
        <v>159</v>
      </c>
      <c r="B194" s="137">
        <f>IF(D$54+D$58&lt;1000.01,0,IF(AND(D$54+D$58&gt;1000,D$54+D$58&lt;=1200),D$54+D$58-1000,IF(AND(D$54+D$58&gt;1200,D$8="ja",D$54+D$58&lt;=1500),D$54+D$58-1000,IF(AND(D$54+D$58&gt;1200,D$8="nein",D$54+D$58&lt;=1500),1200-1000,IF(AND(D$54+D$58&gt;=1500,D$8="ja"),1500-1000,IF(AND(D$54+D$58&gt;1500,D$8="nein"),1200-1000))))))</f>
        <v>0</v>
      </c>
      <c r="C194" s="327" t="s">
        <v>29</v>
      </c>
      <c r="D194" s="137">
        <f>B194*10/100</f>
        <v>0</v>
      </c>
      <c r="F194" s="217"/>
      <c r="G194" s="217"/>
      <c r="H194" s="217"/>
      <c r="I194" s="215"/>
    </row>
    <row r="195" spans="1:9">
      <c r="A195" s="610" t="s">
        <v>30</v>
      </c>
      <c r="B195" s="327"/>
      <c r="C195" s="327"/>
      <c r="D195" s="611">
        <f>SUM(D193:D194)</f>
        <v>0</v>
      </c>
      <c r="F195" s="217"/>
      <c r="G195" s="217"/>
      <c r="H195" s="217"/>
      <c r="I195" s="215"/>
    </row>
    <row r="196" spans="1:9">
      <c r="A196" s="327"/>
      <c r="B196" s="327"/>
      <c r="C196" s="327"/>
      <c r="D196" s="327"/>
      <c r="F196" s="217"/>
      <c r="G196" s="217"/>
      <c r="H196" s="217"/>
      <c r="I196" s="215"/>
    </row>
    <row r="197" spans="1:9">
      <c r="A197" s="608" t="s">
        <v>112</v>
      </c>
      <c r="B197" s="609"/>
      <c r="C197" s="327"/>
      <c r="D197" s="327"/>
      <c r="F197" s="217"/>
      <c r="G197" s="217"/>
      <c r="H197" s="217"/>
      <c r="I197" s="215"/>
    </row>
    <row r="198" spans="1:9">
      <c r="A198" s="327" t="s">
        <v>45</v>
      </c>
      <c r="B198" s="137">
        <f>IF(AND(E$58=0,E$54&lt;=100),0,IF(AND(E$58=0,E$54&lt;=1000),E$54-100,IF(AND(E$58=0,E$54&gt;1000),1000-100,IF(AND(E$58&gt;0,E$54+E$58&lt;=100),0,IF(AND(E$58&gt;0,E$58+E$54&lt;=1000),E$58+E$54-100,IF(AND(E$58&gt;0,E$58+E$54&gt;1000),1000-100))))))</f>
        <v>0</v>
      </c>
      <c r="C198" s="327" t="s">
        <v>28</v>
      </c>
      <c r="D198" s="137">
        <f>B198*20/100</f>
        <v>0</v>
      </c>
    </row>
    <row r="199" spans="1:9">
      <c r="A199" s="327" t="s">
        <v>159</v>
      </c>
      <c r="B199" s="137">
        <f>IF(E$54+E$58&lt;1000.01,0,IF(AND(E$54+E$58&gt;1000,E$54+E$58&lt;=1200),E$54+E$58-1000,IF(E$54+E$58&gt;1200,1200-1000,)))</f>
        <v>0</v>
      </c>
      <c r="C199" s="327" t="s">
        <v>29</v>
      </c>
      <c r="D199" s="137">
        <f>B199*10/100</f>
        <v>0</v>
      </c>
    </row>
    <row r="200" spans="1:9">
      <c r="A200" s="610" t="s">
        <v>30</v>
      </c>
      <c r="B200" s="327"/>
      <c r="C200" s="327"/>
      <c r="D200" s="611">
        <f>SUM(D198:D199)</f>
        <v>0</v>
      </c>
    </row>
    <row r="201" spans="1:9">
      <c r="A201" s="327"/>
      <c r="B201" s="327"/>
      <c r="C201" s="327"/>
      <c r="D201" s="327"/>
    </row>
    <row r="202" spans="1:9">
      <c r="A202" s="608" t="s">
        <v>111</v>
      </c>
      <c r="B202" s="609"/>
      <c r="C202" s="327"/>
      <c r="D202" s="327"/>
    </row>
    <row r="203" spans="1:9">
      <c r="A203" s="327" t="s">
        <v>45</v>
      </c>
      <c r="B203" s="137">
        <f>IF(AND(F$58=0,F$54&lt;=100),0,IF(AND(F$58=0,F$54&lt;=1000),F$54-100,IF(AND(F$58=0,F$54&gt;1000),1000-100,IF(AND(F$58&gt;0,F$54+F$58&lt;=100),0,IF(AND(F$58&gt;0,F$58+F$54&lt;=1000),F$58+F$54-100,IF(AND(F$58&gt;0,F$58+F$54&gt;1000),1000-100))))))</f>
        <v>0</v>
      </c>
      <c r="C203" s="327" t="s">
        <v>28</v>
      </c>
      <c r="D203" s="137">
        <f>B203*20/100</f>
        <v>0</v>
      </c>
    </row>
    <row r="204" spans="1:9">
      <c r="A204" s="327" t="s">
        <v>159</v>
      </c>
      <c r="B204" s="137">
        <f>IF(F$54+F$58&lt;1000.01,0,IF(AND(F$54+F$58&gt;1000,F$54+F$58&lt;=1200),F$54+F$58-1000,IF(F$54+F$58&gt;1200,1200-1000,)))</f>
        <v>0</v>
      </c>
      <c r="C204" s="327" t="s">
        <v>29</v>
      </c>
      <c r="D204" s="137">
        <f>B204*10/100</f>
        <v>0</v>
      </c>
    </row>
    <row r="205" spans="1:9">
      <c r="A205" s="610" t="s">
        <v>30</v>
      </c>
      <c r="B205" s="327"/>
      <c r="C205" s="327"/>
      <c r="D205" s="611">
        <f>SUM(D203:D204)</f>
        <v>0</v>
      </c>
    </row>
    <row r="206" spans="1:9">
      <c r="A206" s="327"/>
      <c r="B206" s="327"/>
      <c r="C206" s="327"/>
      <c r="D206" s="327"/>
    </row>
    <row r="207" spans="1:9">
      <c r="A207" s="608" t="s">
        <v>110</v>
      </c>
      <c r="B207" s="609"/>
      <c r="C207" s="327"/>
      <c r="D207" s="327"/>
    </row>
    <row r="208" spans="1:9">
      <c r="A208" s="327" t="s">
        <v>45</v>
      </c>
      <c r="B208" s="137">
        <f>IF(AND(G$58=0,G$54&lt;=100),0,IF(AND(G$58=0,G$54&lt;=1000),G$54-100,IF(AND(G$58=0,G$54&gt;1000),1000-100,IF(AND(G$58&gt;0,G$54+G$58&lt;=100),0,IF(AND(G$58&gt;0,G$58+G$54&lt;=1000),G$58+G$54-100,IF(AND(G$58&gt;0,G$58+G$54&gt;1000),1000-100))))))</f>
        <v>0</v>
      </c>
      <c r="C208" s="327" t="s">
        <v>28</v>
      </c>
      <c r="D208" s="137">
        <f>B208*20/100</f>
        <v>0</v>
      </c>
    </row>
    <row r="209" spans="1:4">
      <c r="A209" s="327" t="s">
        <v>159</v>
      </c>
      <c r="B209" s="137">
        <f>IF(G$54+G$58&lt;1000.01,0,IF(AND(G$54+G$58&gt;1000,G$54+G$58&lt;=1200),G$54+G$58-1000,IF(G$54+G$58&gt;1200,1200-1000,)))</f>
        <v>0</v>
      </c>
      <c r="C209" s="327" t="s">
        <v>29</v>
      </c>
      <c r="D209" s="137">
        <f>B209*10/100</f>
        <v>0</v>
      </c>
    </row>
    <row r="210" spans="1:4">
      <c r="A210" s="610" t="s">
        <v>30</v>
      </c>
      <c r="B210" s="327"/>
      <c r="C210" s="327"/>
      <c r="D210" s="611">
        <f>SUM(D208:D209)</f>
        <v>0</v>
      </c>
    </row>
    <row r="211" spans="1:4">
      <c r="A211" s="327"/>
      <c r="B211" s="327"/>
      <c r="C211" s="327"/>
      <c r="D211" s="327"/>
    </row>
    <row r="212" spans="1:4">
      <c r="A212" s="608" t="s">
        <v>108</v>
      </c>
      <c r="B212" s="609"/>
      <c r="C212" s="327"/>
      <c r="D212" s="327"/>
    </row>
    <row r="213" spans="1:4">
      <c r="A213" s="327" t="s">
        <v>45</v>
      </c>
      <c r="B213" s="137">
        <f>IF(AND(H$58=0,H$54&lt;=100),0,IF(AND(H$58=0,H$54&lt;=1000),H$54-100,IF(AND(H$58=0,H$54&gt;1000),1000-100,IF(AND(H$58&gt;0,H$54+H$58&lt;=100),0,IF(AND(H$58&gt;0,H$58+H$54&lt;=1000),H$58+H$54-100,IF(AND(H$58&gt;0,H$58+H$54&gt;1000),1000-100))))))</f>
        <v>0</v>
      </c>
      <c r="C213" s="327" t="s">
        <v>28</v>
      </c>
      <c r="D213" s="137">
        <f>B213*20/100</f>
        <v>0</v>
      </c>
    </row>
    <row r="214" spans="1:4">
      <c r="A214" s="327" t="s">
        <v>159</v>
      </c>
      <c r="B214" s="137">
        <f>IF(H$54+H$58&lt;1000.01,0,IF(AND(H$54+H$58&gt;1000,H$54+H$58&lt;=1200),H$54+H$58-1000,IF(H$54+H$58&gt;1200,1200-1000,)))</f>
        <v>0</v>
      </c>
      <c r="C214" s="327" t="s">
        <v>29</v>
      </c>
      <c r="D214" s="137">
        <f>B214*10/100</f>
        <v>0</v>
      </c>
    </row>
    <row r="215" spans="1:4">
      <c r="A215" s="610" t="s">
        <v>30</v>
      </c>
      <c r="B215" s="327"/>
      <c r="C215" s="327"/>
      <c r="D215" s="611">
        <f>SUM(D213:D214)</f>
        <v>0</v>
      </c>
    </row>
    <row r="216" spans="1:4">
      <c r="A216" s="327"/>
      <c r="B216" s="327"/>
      <c r="C216" s="327"/>
      <c r="D216" s="327"/>
    </row>
    <row r="217" spans="1:4">
      <c r="A217" s="608" t="s">
        <v>109</v>
      </c>
      <c r="B217" s="609"/>
      <c r="C217" s="327"/>
      <c r="D217" s="327"/>
    </row>
    <row r="218" spans="1:4">
      <c r="A218" s="327" t="s">
        <v>45</v>
      </c>
      <c r="B218" s="137">
        <f>IF(AND(I$58=0,I$54&lt;=100),0,IF(AND(I$58=0,I$54&lt;=1000),I$54-100,IF(AND(I$58=0,I$54&gt;1000),1000-100,IF(AND(I$58&gt;0,I$54+I$58&lt;=100),0,IF(AND(I$58&gt;0,I$58+I$54&lt;=1000),I$58+I$54-100,IF(AND(I$58&gt;0,I$58+I$54&gt;1000),1000-100))))))</f>
        <v>0</v>
      </c>
      <c r="C218" s="327" t="s">
        <v>28</v>
      </c>
      <c r="D218" s="137">
        <f>B218*20/100</f>
        <v>0</v>
      </c>
    </row>
    <row r="219" spans="1:4">
      <c r="A219" s="327" t="s">
        <v>159</v>
      </c>
      <c r="B219" s="137">
        <f>IF(I$54+I$58&lt;1000.01,0,IF(AND(I$54+I$58&gt;1000,I$54+I$58&lt;=1200),I$54+I$58-1000,IF(I$54+I$58&gt;1200,1200-1000,)))</f>
        <v>0</v>
      </c>
      <c r="C219" s="327" t="s">
        <v>29</v>
      </c>
      <c r="D219" s="137">
        <f>B219*10/100</f>
        <v>0</v>
      </c>
    </row>
    <row r="220" spans="1:4">
      <c r="A220" s="610" t="s">
        <v>30</v>
      </c>
      <c r="B220" s="327"/>
      <c r="C220" s="327"/>
      <c r="D220" s="611">
        <f>SUM(D218:D219)</f>
        <v>0</v>
      </c>
    </row>
    <row r="221" spans="1:4">
      <c r="A221" s="217"/>
      <c r="B221" s="219"/>
      <c r="C221" s="217"/>
      <c r="D221" s="217"/>
    </row>
    <row r="222" spans="1:4">
      <c r="A222" s="217"/>
      <c r="B222" s="215"/>
      <c r="C222" s="217"/>
      <c r="D222" s="215"/>
    </row>
    <row r="223" spans="1:4">
      <c r="A223" s="217"/>
      <c r="B223" s="215"/>
      <c r="C223" s="217"/>
      <c r="D223" s="215"/>
    </row>
    <row r="224" spans="1:4">
      <c r="A224" s="220"/>
      <c r="B224" s="217"/>
      <c r="C224" s="217"/>
      <c r="D224" s="215"/>
    </row>
    <row r="225" spans="1:9">
      <c r="A225" s="217"/>
      <c r="B225" s="217"/>
      <c r="C225" s="217"/>
      <c r="D225" s="217">
        <f>SUM(E225:I225)</f>
        <v>0</v>
      </c>
      <c r="E225" s="205">
        <f>IF(AND($C$14&gt;0,E9&gt;11,E9&lt;18,Kinderzuschlag!$B$170&gt;=600),Zusatzeingaben!$E$287,0)</f>
        <v>0</v>
      </c>
      <c r="F225" s="205">
        <f>IF(AND($C$14&gt;0,F9&gt;11,F9&lt;18,Kinderzuschlag!$B$170&gt;=600),Zusatzeingaben!$E$287,0)</f>
        <v>0</v>
      </c>
      <c r="G225" s="205">
        <f>IF(AND($C$14&gt;0,G9&gt;11,G9&lt;18,Kinderzuschlag!$B$170&gt;=600),Zusatzeingaben!$E$287,0)</f>
        <v>0</v>
      </c>
      <c r="H225" s="205">
        <f>IF(AND($C$14&gt;0,H9&gt;11,H9&lt;18,Kinderzuschlag!$B$170&gt;=600),Zusatzeingaben!$E$287,0)</f>
        <v>0</v>
      </c>
      <c r="I225" s="205">
        <f>IF(AND($C$14&gt;0,I9&gt;11,I9&lt;18,Kinderzuschlag!$B$170&gt;=600),Zusatzeingaben!$E$287,0)</f>
        <v>0</v>
      </c>
    </row>
    <row r="226" spans="1:9">
      <c r="A226" s="218"/>
      <c r="B226" s="216"/>
      <c r="C226" s="217"/>
      <c r="D226" s="217">
        <f>SUM(E226:I226)</f>
        <v>0</v>
      </c>
      <c r="E226" s="205">
        <f>IF(AND($C$14&gt;0,E9&gt;11,E9&lt;18,E131&gt;0,E131&lt;=Zusatzeingaben!$E$287),Zusatzeingaben!$E$287,0)</f>
        <v>0</v>
      </c>
    </row>
    <row r="227" spans="1:9">
      <c r="A227" s="217"/>
      <c r="B227" s="215"/>
      <c r="C227" s="217"/>
      <c r="D227" s="215"/>
    </row>
    <row r="228" spans="1:9">
      <c r="A228" s="217"/>
      <c r="B228" s="215"/>
      <c r="C228" s="217"/>
      <c r="D228" s="215"/>
    </row>
    <row r="229" spans="1:9">
      <c r="A229" s="220"/>
      <c r="B229" s="217"/>
      <c r="C229" s="217"/>
      <c r="D229" s="215"/>
    </row>
    <row r="230" spans="1:9">
      <c r="A230" s="217"/>
      <c r="B230" s="217"/>
      <c r="C230" s="217"/>
      <c r="D230" s="217"/>
    </row>
    <row r="231" spans="1:9">
      <c r="A231" s="218"/>
      <c r="B231" s="216"/>
      <c r="C231" s="217"/>
      <c r="D231" s="217"/>
    </row>
    <row r="232" spans="1:9">
      <c r="A232" s="217"/>
      <c r="B232" s="215"/>
      <c r="C232" s="217"/>
      <c r="D232" s="215"/>
    </row>
    <row r="233" spans="1:9">
      <c r="A233" s="217"/>
      <c r="B233" s="215"/>
      <c r="C233" s="217"/>
      <c r="D233" s="215"/>
    </row>
    <row r="234" spans="1:9">
      <c r="A234" s="220"/>
      <c r="B234" s="217"/>
      <c r="C234" s="217"/>
      <c r="D234" s="215"/>
    </row>
    <row r="235" spans="1:9">
      <c r="A235" s="217"/>
      <c r="B235" s="217"/>
      <c r="C235" s="217"/>
      <c r="D235" s="217"/>
    </row>
    <row r="236" spans="1:9">
      <c r="A236" s="218"/>
      <c r="B236" s="216"/>
      <c r="C236" s="217"/>
      <c r="D236" s="217"/>
    </row>
    <row r="237" spans="1:9">
      <c r="A237" s="217"/>
      <c r="B237" s="215"/>
      <c r="C237" s="217"/>
      <c r="D237" s="215"/>
    </row>
    <row r="238" spans="1:9">
      <c r="A238" s="217"/>
      <c r="B238" s="215"/>
      <c r="C238" s="217"/>
      <c r="D238" s="215"/>
    </row>
    <row r="239" spans="1:9">
      <c r="A239" s="220"/>
      <c r="B239" s="217"/>
      <c r="C239" s="217"/>
      <c r="D239" s="215"/>
    </row>
  </sheetData>
  <mergeCells count="22">
    <mergeCell ref="L57:S57"/>
    <mergeCell ref="AE2:AK2"/>
    <mergeCell ref="AF4:AG4"/>
    <mergeCell ref="AG21:AK21"/>
    <mergeCell ref="AE29:AK29"/>
    <mergeCell ref="AG46:AK46"/>
    <mergeCell ref="K54:S54"/>
    <mergeCell ref="U2:AC2"/>
    <mergeCell ref="X31:AC31"/>
    <mergeCell ref="X34:AC34"/>
    <mergeCell ref="X37:AC37"/>
    <mergeCell ref="K2:S2"/>
    <mergeCell ref="L3:M3"/>
    <mergeCell ref="K9:S9"/>
    <mergeCell ref="M14:N14"/>
    <mergeCell ref="K22:S22"/>
    <mergeCell ref="A166:I166"/>
    <mergeCell ref="B3:C3"/>
    <mergeCell ref="A2:I2"/>
    <mergeCell ref="A5:I5"/>
    <mergeCell ref="A52:I52"/>
    <mergeCell ref="A125:I125"/>
  </mergeCells>
  <phoneticPr fontId="2" type="noConversion"/>
  <conditionalFormatting sqref="C132 D132:D133 C137:C146 D127:I128 A49 C7:I7 C13:I13 B3:C3 C21:I46 C14:C19 C179:I180 C177:I177 D15:I19 C10:I11 C112:I112 C114:I115 C95:I99 C101:I110 C74:I81 C117:I120 D138:I138 C170:I171 C83:I83 C85:I88 C148:I148 D137 D139:D146 C90:I93 E131:I133 C49:I49 C54:I71">
    <cfRule type="cellIs" dxfId="192" priority="28" stopIfTrue="1" operator="equal">
      <formula>0</formula>
    </cfRule>
  </conditionalFormatting>
  <conditionalFormatting sqref="B21:B47 B145:B148 E149:I151 C47:I47 B50:C50 B13:B19 B49 B177:B182 B170:B172 B54:B120">
    <cfRule type="cellIs" dxfId="191" priority="29" stopIfTrue="1" operator="equal">
      <formula>0</formula>
    </cfRule>
  </conditionalFormatting>
  <conditionalFormatting sqref="B165:I165 B175:I175 B183:I184">
    <cfRule type="cellIs" dxfId="190" priority="32" stopIfTrue="1" operator="equal">
      <formula>0</formula>
    </cfRule>
  </conditionalFormatting>
  <conditionalFormatting sqref="A150">
    <cfRule type="cellIs" dxfId="189" priority="33" stopIfTrue="1" operator="equal">
      <formula>"Mehrbedarf nach § 27 (2) SGB II"</formula>
    </cfRule>
  </conditionalFormatting>
  <conditionalFormatting sqref="C150:D151">
    <cfRule type="cellIs" dxfId="188" priority="34" stopIfTrue="1" operator="notEqual">
      <formula>0</formula>
    </cfRule>
  </conditionalFormatting>
  <conditionalFormatting sqref="C161">
    <cfRule type="expression" dxfId="187" priority="35" stopIfTrue="1">
      <formula>$C$150&gt;0</formula>
    </cfRule>
  </conditionalFormatting>
  <conditionalFormatting sqref="A151">
    <cfRule type="cellIs" dxfId="186" priority="36" stopIfTrue="1" operator="equal">
      <formula>"./. Überschuss"</formula>
    </cfRule>
  </conditionalFormatting>
  <conditionalFormatting sqref="D161">
    <cfRule type="expression" dxfId="185" priority="37" stopIfTrue="1">
      <formula>$D$150&gt;0</formula>
    </cfRule>
  </conditionalFormatting>
  <conditionalFormatting sqref="C116:D116">
    <cfRule type="cellIs" dxfId="184" priority="27" stopIfTrue="1" operator="equal">
      <formula>0</formula>
    </cfRule>
  </conditionalFormatting>
  <conditionalFormatting sqref="E116:I116">
    <cfRule type="cellIs" dxfId="183" priority="26" stopIfTrue="1" operator="equal">
      <formula>0</formula>
    </cfRule>
  </conditionalFormatting>
  <conditionalFormatting sqref="C82:I82">
    <cfRule type="cellIs" dxfId="182" priority="24" stopIfTrue="1" operator="equal">
      <formula>0</formula>
    </cfRule>
  </conditionalFormatting>
  <conditionalFormatting sqref="C111:I111">
    <cfRule type="cellIs" dxfId="181" priority="23" stopIfTrue="1" operator="equal">
      <formula>0</formula>
    </cfRule>
  </conditionalFormatting>
  <conditionalFormatting sqref="C113:I113">
    <cfRule type="cellIs" dxfId="180" priority="21" stopIfTrue="1" operator="equal">
      <formula>0</formula>
    </cfRule>
  </conditionalFormatting>
  <conditionalFormatting sqref="C154:I157">
    <cfRule type="cellIs" dxfId="179" priority="19" stopIfTrue="1" operator="equal">
      <formula>0</formula>
    </cfRule>
  </conditionalFormatting>
  <conditionalFormatting sqref="B153:B158">
    <cfRule type="cellIs" dxfId="178" priority="20" stopIfTrue="1" operator="equal">
      <formula>0</formula>
    </cfRule>
  </conditionalFormatting>
  <conditionalFormatting sqref="A120">
    <cfRule type="expression" dxfId="177" priority="18">
      <formula>B120&gt;0</formula>
    </cfRule>
  </conditionalFormatting>
  <conditionalFormatting sqref="C147">
    <cfRule type="cellIs" dxfId="176" priority="17" stopIfTrue="1" operator="equal">
      <formula>0</formula>
    </cfRule>
  </conditionalFormatting>
  <conditionalFormatting sqref="D147">
    <cfRule type="cellIs" dxfId="175" priority="16" stopIfTrue="1" operator="equal">
      <formula>0</formula>
    </cfRule>
  </conditionalFormatting>
  <conditionalFormatting sqref="E147:I147">
    <cfRule type="cellIs" dxfId="174" priority="15" stopIfTrue="1" operator="equal">
      <formula>0</formula>
    </cfRule>
  </conditionalFormatting>
  <conditionalFormatting sqref="L12">
    <cfRule type="expression" dxfId="173" priority="14">
      <formula>L11="miete"</formula>
    </cfRule>
  </conditionalFormatting>
  <conditionalFormatting sqref="L14">
    <cfRule type="expression" dxfId="172" priority="13">
      <formula>L11="Eigentum"</formula>
    </cfRule>
  </conditionalFormatting>
  <conditionalFormatting sqref="L15">
    <cfRule type="expression" dxfId="171" priority="12">
      <formula>L11="eigentum"</formula>
    </cfRule>
  </conditionalFormatting>
  <conditionalFormatting sqref="L16">
    <cfRule type="expression" dxfId="170" priority="11">
      <formula>K16&lt;&gt;0</formula>
    </cfRule>
  </conditionalFormatting>
  <conditionalFormatting sqref="L17">
    <cfRule type="expression" dxfId="169" priority="10">
      <formula>K17&lt;&gt;0</formula>
    </cfRule>
  </conditionalFormatting>
  <conditionalFormatting sqref="L18">
    <cfRule type="expression" dxfId="168" priority="9">
      <formula>L11="Eigentum"</formula>
    </cfRule>
  </conditionalFormatting>
  <conditionalFormatting sqref="X31:AC31">
    <cfRule type="cellIs" dxfId="167" priority="8" operator="notEqual">
      <formula>0</formula>
    </cfRule>
  </conditionalFormatting>
  <conditionalFormatting sqref="X31:AC31">
    <cfRule type="cellIs" dxfId="166" priority="7" operator="notEqual">
      <formula>0</formula>
    </cfRule>
  </conditionalFormatting>
  <conditionalFormatting sqref="X34:AC34">
    <cfRule type="cellIs" dxfId="165" priority="6" operator="notEqual">
      <formula>0</formula>
    </cfRule>
  </conditionalFormatting>
  <conditionalFormatting sqref="X37:AC37">
    <cfRule type="cellIs" dxfId="164" priority="5" operator="notEqual">
      <formula>0</formula>
    </cfRule>
  </conditionalFormatting>
  <conditionalFormatting sqref="AE32">
    <cfRule type="cellIs" dxfId="163" priority="4" stopIfTrue="1" operator="equal">
      <formula>"Bescheinigung Hilfebedürftigkeit für PKV"</formula>
    </cfRule>
  </conditionalFormatting>
  <conditionalFormatting sqref="AG54:AK54">
    <cfRule type="cellIs" dxfId="162" priority="3" stopIfTrue="1" operator="equal">
      <formula>"Pflichtversicherung!"</formula>
    </cfRule>
  </conditionalFormatting>
  <conditionalFormatting sqref="AE46">
    <cfRule type="cellIs" dxfId="161" priority="2" stopIfTrue="1" operator="equal">
      <formula>"Halbierung Höchstbeitrag durch PKV"</formula>
    </cfRule>
  </conditionalFormatting>
  <conditionalFormatting sqref="AG32:AK32">
    <cfRule type="cellIs" dxfId="160" priority="1" operator="notEqual">
      <formula>0</formula>
    </cfRule>
  </conditionalFormatting>
  <dataValidations disablePrompts="1" count="3">
    <dataValidation type="decimal" errorStyle="information" operator="lessThanOrEqual" allowBlank="1" showInputMessage="1" showErrorMessage="1" error="Handelt es sich tatsächlich um einen Pflichtbeitrag oder wird ein freiwilliger Beitrag zur GKV gezahlt?" sqref="AG23:AK23">
      <formula1>0</formula1>
    </dataValidation>
    <dataValidation type="decimal" operator="lessThanOrEqual" allowBlank="1" showInputMessage="1" showErrorMessage="1" error="Wert liegt über Höchstbeitrag für 2017!" sqref="AG19:AK19">
      <formula1>110.92</formula1>
    </dataValidation>
    <dataValidation type="decimal" operator="lessThanOrEqual" allowBlank="1" showInputMessage="1" showErrorMessage="1" error="Wert liegt über Höchstbetrag für 2017!" sqref="AG14:AK14">
      <formula1>682.95</formula1>
    </dataValidation>
  </dataValidations>
  <hyperlinks>
    <hyperlink ref="K58" location="Eingabetabelle!A149" display="Zurück"/>
    <hyperlink ref="AE61" location="Eingabetabelle!A155" display="Zurück"/>
    <hyperlink ref="U46" location="Eingabetabelle!A152" display="Zurück"/>
    <hyperlink ref="A162" location="Eingabetabelle!A146" display="Zurück"/>
  </hyperlinks>
  <pageMargins left="1.0629921259842521" right="7.874015748031496E-2" top="0" bottom="0" header="0.19685039370078741" footer="0.51181102362204722"/>
  <pageSetup paperSize="9" scale="60" orientation="portrait" horizontalDpi="4294967293" verticalDpi="4294967293" r:id="rId1"/>
  <headerFooter alignWithMargins="0"/>
  <ignoredErrors>
    <ignoredError sqref="B14" formula="1"/>
  </ignoredErrors>
</worksheet>
</file>

<file path=xl/worksheets/sheet5.xml><?xml version="1.0" encoding="utf-8"?>
<worksheet xmlns="http://schemas.openxmlformats.org/spreadsheetml/2006/main" xmlns:r="http://schemas.openxmlformats.org/officeDocument/2006/relationships">
  <dimension ref="A1:N268"/>
  <sheetViews>
    <sheetView showGridLines="0" showZeros="0" topLeftCell="A162" zoomScale="118" zoomScaleNormal="118" workbookViewId="0">
      <selection activeCell="E169" sqref="E169"/>
    </sheetView>
  </sheetViews>
  <sheetFormatPr baseColWidth="10" defaultColWidth="11.42578125" defaultRowHeight="16.5"/>
  <cols>
    <col min="1" max="1" width="33.28515625" style="205" customWidth="1"/>
    <col min="2" max="2" width="16.7109375" style="205" customWidth="1"/>
    <col min="3" max="3" width="12.85546875" style="205" customWidth="1"/>
    <col min="4" max="6" width="13" style="205" customWidth="1"/>
    <col min="7" max="7" width="12.5703125" style="205" customWidth="1"/>
    <col min="8" max="8" width="12.7109375" style="205" customWidth="1"/>
    <col min="9" max="9" width="13.42578125" style="205" customWidth="1"/>
    <col min="10" max="10" width="0" style="205" hidden="1" customWidth="1"/>
    <col min="11" max="16384" width="11.42578125" style="205"/>
  </cols>
  <sheetData>
    <row r="1" spans="1:11" ht="20.25" hidden="1" customHeight="1" thickBot="1">
      <c r="H1" s="606" t="s">
        <v>183</v>
      </c>
      <c r="I1" s="605">
        <f ca="1">TODAY()</f>
        <v>43401</v>
      </c>
    </row>
    <row r="2" spans="1:11" ht="36" hidden="1" customHeight="1">
      <c r="A2" s="234"/>
      <c r="B2" s="346" t="s">
        <v>386</v>
      </c>
      <c r="C2" s="235"/>
      <c r="D2" s="222"/>
      <c r="E2" s="236"/>
      <c r="F2" s="236"/>
      <c r="G2" s="236"/>
      <c r="H2" s="236"/>
      <c r="I2" s="237"/>
      <c r="J2" s="206"/>
      <c r="K2" s="206"/>
    </row>
    <row r="3" spans="1:11" ht="19.5" hidden="1" thickBot="1">
      <c r="A3" s="238" t="s">
        <v>4</v>
      </c>
      <c r="B3" s="2107">
        <f>Zusatzeingaben!B2</f>
        <v>0</v>
      </c>
      <c r="C3" s="2108"/>
      <c r="D3" s="239" t="s">
        <v>33</v>
      </c>
      <c r="E3" s="338">
        <f>Zusatzeingaben!E2</f>
        <v>43344</v>
      </c>
      <c r="F3" s="263" t="s">
        <v>103</v>
      </c>
      <c r="G3" s="339">
        <f>Berechnung!G3</f>
        <v>43373</v>
      </c>
      <c r="H3" s="240"/>
      <c r="I3" s="241"/>
      <c r="J3" s="206"/>
      <c r="K3" s="206"/>
    </row>
    <row r="4" spans="1:11" ht="15" hidden="1" customHeight="1" thickBot="1">
      <c r="J4" s="206"/>
      <c r="K4" s="206"/>
    </row>
    <row r="5" spans="1:11" ht="23.25" hidden="1">
      <c r="A5" s="221"/>
      <c r="B5" s="345" t="s">
        <v>0</v>
      </c>
      <c r="C5" s="222"/>
      <c r="D5" s="222"/>
      <c r="E5" s="222"/>
      <c r="F5" s="222"/>
      <c r="G5" s="222"/>
      <c r="H5" s="222"/>
      <c r="I5" s="223"/>
    </row>
    <row r="6" spans="1:11" ht="20.25" hidden="1" customHeight="1">
      <c r="A6" s="224"/>
      <c r="B6" s="341" t="s">
        <v>1</v>
      </c>
      <c r="C6" s="341" t="str">
        <f>Zusatzeingaben!C4</f>
        <v>Antragsteller</v>
      </c>
      <c r="D6" s="341" t="str">
        <f>Zusatzeingaben!D4</f>
        <v>Partner(in)</v>
      </c>
      <c r="E6" s="341" t="str">
        <f>Zusatzeingaben!E4</f>
        <v>Kind 1</v>
      </c>
      <c r="F6" s="341" t="s">
        <v>8</v>
      </c>
      <c r="G6" s="341" t="s">
        <v>9</v>
      </c>
      <c r="H6" s="341" t="s">
        <v>10</v>
      </c>
      <c r="I6" s="342" t="s">
        <v>34</v>
      </c>
    </row>
    <row r="7" spans="1:11" hidden="1">
      <c r="A7" s="224" t="s">
        <v>35</v>
      </c>
      <c r="B7" s="300">
        <f>Zusatzeingaben!B6</f>
        <v>1</v>
      </c>
      <c r="C7" s="301">
        <f>Zusatzeingaben!C6</f>
        <v>0</v>
      </c>
      <c r="D7" s="301">
        <f>Zusatzeingaben!D6</f>
        <v>0</v>
      </c>
      <c r="E7" s="301">
        <f>Zusatzeingaben!E6</f>
        <v>0</v>
      </c>
      <c r="F7" s="301">
        <f>Zusatzeingaben!F6</f>
        <v>0</v>
      </c>
      <c r="G7" s="301">
        <f>Zusatzeingaben!G6</f>
        <v>0</v>
      </c>
      <c r="H7" s="301">
        <f>Zusatzeingaben!H6</f>
        <v>0</v>
      </c>
      <c r="I7" s="302">
        <f>Zusatzeingaben!I6</f>
        <v>0</v>
      </c>
    </row>
    <row r="8" spans="1:11" hidden="1">
      <c r="A8" s="224" t="s">
        <v>32</v>
      </c>
      <c r="B8" s="303"/>
      <c r="C8" s="304" t="str">
        <f>Zusatzeingaben!E7</f>
        <v>nein</v>
      </c>
      <c r="D8" s="304" t="str">
        <f>Zusatzeingaben!F7</f>
        <v>nein</v>
      </c>
      <c r="E8" s="304"/>
      <c r="F8" s="304"/>
      <c r="G8" s="304"/>
      <c r="H8" s="304"/>
      <c r="I8" s="305"/>
    </row>
    <row r="9" spans="1:11" hidden="1">
      <c r="A9" s="224" t="s">
        <v>3</v>
      </c>
      <c r="B9" s="306"/>
      <c r="C9" s="307">
        <f>Zusatzeingaben!C22</f>
        <v>0</v>
      </c>
      <c r="D9" s="307">
        <f>Zusatzeingaben!D22</f>
        <v>0</v>
      </c>
      <c r="E9" s="307">
        <f>IF(Zusatzeingaben!E16=0,Zusatzeingaben!E16,Zusatzeingaben!E22)</f>
        <v>0</v>
      </c>
      <c r="F9" s="307">
        <f>IF(Zusatzeingaben!F16=0,Zusatzeingaben!F16,Zusatzeingaben!F22)</f>
        <v>0</v>
      </c>
      <c r="G9" s="307">
        <f>IF(Zusatzeingaben!G16=0,Zusatzeingaben!G16,Zusatzeingaben!G22)</f>
        <v>0</v>
      </c>
      <c r="H9" s="307">
        <f>IF(Zusatzeingaben!H16=0,Zusatzeingaben!H16,Zusatzeingaben!H22)</f>
        <v>0</v>
      </c>
      <c r="I9" s="310">
        <f>IF(Zusatzeingaben!I16=0,Zusatzeingaben!I16,Zusatzeingaben!I22)</f>
        <v>0</v>
      </c>
    </row>
    <row r="10" spans="1:11" ht="17.25" hidden="1" thickBot="1">
      <c r="A10" s="225" t="s">
        <v>39</v>
      </c>
      <c r="B10" s="308"/>
      <c r="C10" s="347" t="str">
        <f>Zusatzeingaben!C35</f>
        <v>ja</v>
      </c>
      <c r="D10" s="347">
        <f>IF(Zusatzeingaben!D33&gt;0,Zusatzeingaben!D35,0)</f>
        <v>0</v>
      </c>
      <c r="E10" s="347">
        <f>IF(Zusatzeingaben!E33&gt;0,Zusatzeingaben!E35,0)</f>
        <v>0</v>
      </c>
      <c r="F10" s="347">
        <f>IF(Zusatzeingaben!F33&gt;0,Zusatzeingaben!F35,0)</f>
        <v>0</v>
      </c>
      <c r="G10" s="347">
        <f>IF(Zusatzeingaben!G33&gt;0,Zusatzeingaben!G35,0)</f>
        <v>0</v>
      </c>
      <c r="H10" s="347">
        <f>IF(Zusatzeingaben!H33&gt;0,Zusatzeingaben!H35,0)</f>
        <v>0</v>
      </c>
      <c r="I10" s="348">
        <f>IF(Zusatzeingaben!I33&gt;0,Zusatzeingaben!I35,0)</f>
        <v>0</v>
      </c>
    </row>
    <row r="11" spans="1:11" hidden="1">
      <c r="A11" s="360" t="s">
        <v>52</v>
      </c>
      <c r="B11" s="292">
        <f>SUM(C11:I11)</f>
        <v>416</v>
      </c>
      <c r="C11" s="293">
        <f>Zusatzeingaben!C33</f>
        <v>416</v>
      </c>
      <c r="D11" s="293">
        <f>Zusatzeingaben!D33</f>
        <v>0</v>
      </c>
      <c r="E11" s="293">
        <f>Zusatzeingaben!E33</f>
        <v>0</v>
      </c>
      <c r="F11" s="293">
        <f>Zusatzeingaben!F33</f>
        <v>0</v>
      </c>
      <c r="G11" s="293">
        <f>Zusatzeingaben!G33</f>
        <v>0</v>
      </c>
      <c r="H11" s="293">
        <f>Zusatzeingaben!H33</f>
        <v>0</v>
      </c>
      <c r="I11" s="294">
        <f>Zusatzeingaben!I33</f>
        <v>0</v>
      </c>
    </row>
    <row r="12" spans="1:11" hidden="1">
      <c r="A12" s="226" t="s">
        <v>19</v>
      </c>
      <c r="B12" s="62"/>
      <c r="C12" s="295"/>
      <c r="D12" s="295"/>
      <c r="E12" s="295"/>
      <c r="F12" s="295"/>
      <c r="G12" s="295"/>
      <c r="H12" s="295"/>
      <c r="I12" s="296"/>
    </row>
    <row r="13" spans="1:11" hidden="1">
      <c r="A13" s="408">
        <f>IF(B13&gt;0,"Schwangerschaft",0)</f>
        <v>0</v>
      </c>
      <c r="B13" s="284">
        <f t="shared" ref="B13:B19" si="0">SUM(C13:I13)</f>
        <v>0</v>
      </c>
      <c r="C13" s="62">
        <f>IF(OR(Zusatzeingaben!C37="",C10="nur Mehrbedarf"),0,Zusatzeingaben!C45)</f>
        <v>0</v>
      </c>
      <c r="D13" s="62">
        <f>IF(OR(Zusatzeingaben!D37="",D10="nur Mehrbedarf"),0,Zusatzeingaben!D45)</f>
        <v>0</v>
      </c>
      <c r="E13" s="62">
        <f>IF(Zusatzeingaben!E37="",0,Zusatzeingaben!E45)</f>
        <v>0</v>
      </c>
      <c r="F13" s="62"/>
      <c r="G13" s="62"/>
      <c r="H13" s="62"/>
      <c r="I13" s="110"/>
    </row>
    <row r="14" spans="1:11" hidden="1">
      <c r="A14" s="408">
        <f>IF(B14&gt;0,"Alleinerziehende",0)</f>
        <v>0</v>
      </c>
      <c r="B14" s="284">
        <f>C14</f>
        <v>0</v>
      </c>
      <c r="C14" s="62">
        <f>IF(C10="nur Mehrbedarf",0,Zusatzeingaben!B46)</f>
        <v>0</v>
      </c>
      <c r="D14" s="62"/>
      <c r="E14" s="62"/>
      <c r="F14" s="62"/>
      <c r="G14" s="62"/>
      <c r="H14" s="62"/>
      <c r="I14" s="110"/>
    </row>
    <row r="15" spans="1:11" hidden="1">
      <c r="A15" s="408">
        <f>IF(B15&gt;0,"behinderter Mensch, Teilhabe",0)</f>
        <v>0</v>
      </c>
      <c r="B15" s="284">
        <f t="shared" si="0"/>
        <v>0</v>
      </c>
      <c r="C15" s="62">
        <f>IF(Zusatzeingaben!C34="ja",Zusatzeingaben!C92,0)</f>
        <v>0</v>
      </c>
      <c r="D15" s="62">
        <f>IF(Zusatzeingaben!D34="ja",Zusatzeingaben!D92,0)</f>
        <v>0</v>
      </c>
      <c r="E15" s="62">
        <f>IF(Zusatzeingaben!E34="ja",Zusatzeingaben!E92,0)</f>
        <v>0</v>
      </c>
      <c r="F15" s="62">
        <f>IF(Zusatzeingaben!F34="ja",Zusatzeingaben!F92,0)</f>
        <v>0</v>
      </c>
      <c r="G15" s="62">
        <f>IF(Zusatzeingaben!G34="ja",Zusatzeingaben!G92,0)</f>
        <v>0</v>
      </c>
      <c r="H15" s="62">
        <f>IF(Zusatzeingaben!H34="ja",Zusatzeingaben!H92,0)</f>
        <v>0</v>
      </c>
      <c r="I15" s="110">
        <f>IF(Zusatzeingaben!I34="ja",Zusatzeingaben!I92,0)</f>
        <v>0</v>
      </c>
    </row>
    <row r="16" spans="1:11" hidden="1">
      <c r="A16" s="408">
        <f>IF(B16&gt;0,"kostenaufwändige Ernährung",0)</f>
        <v>0</v>
      </c>
      <c r="B16" s="284">
        <f t="shared" si="0"/>
        <v>0</v>
      </c>
      <c r="C16" s="62">
        <f>IF(C10="nur Mehrbedarf",0,Zusatzeingaben!C93)</f>
        <v>0</v>
      </c>
      <c r="D16" s="62">
        <f>IF(D10="nur Mehrbedarf",0,Zusatzeingaben!D93)</f>
        <v>0</v>
      </c>
      <c r="E16" s="62">
        <f>Zusatzeingaben!E93</f>
        <v>0</v>
      </c>
      <c r="F16" s="62">
        <f>Zusatzeingaben!F93</f>
        <v>0</v>
      </c>
      <c r="G16" s="62">
        <f>Zusatzeingaben!G93</f>
        <v>0</v>
      </c>
      <c r="H16" s="62">
        <f>Zusatzeingaben!H93</f>
        <v>0</v>
      </c>
      <c r="I16" s="110">
        <f>Zusatzeingaben!I93</f>
        <v>0</v>
      </c>
    </row>
    <row r="17" spans="1:11" hidden="1">
      <c r="A17" s="408">
        <f>IF(B17&gt;0,"unabweisbarer, lfd., besond. Bedarf",0)</f>
        <v>0</v>
      </c>
      <c r="B17" s="284">
        <f t="shared" si="0"/>
        <v>0</v>
      </c>
      <c r="C17" s="62">
        <f>IF(C10="nur Mehrbedarf",0,Zusatzeingaben!C94)</f>
        <v>0</v>
      </c>
      <c r="D17" s="62">
        <f>IF(D10="nur Mehrbedarf",0,Zusatzeingaben!D94)</f>
        <v>0</v>
      </c>
      <c r="E17" s="62">
        <f>Zusatzeingaben!E94</f>
        <v>0</v>
      </c>
      <c r="F17" s="62">
        <f>Zusatzeingaben!F94</f>
        <v>0</v>
      </c>
      <c r="G17" s="62">
        <f>Zusatzeingaben!G94</f>
        <v>0</v>
      </c>
      <c r="H17" s="62">
        <f>Zusatzeingaben!H94</f>
        <v>0</v>
      </c>
      <c r="I17" s="110">
        <f>Zusatzeingaben!I94</f>
        <v>0</v>
      </c>
    </row>
    <row r="18" spans="1:11" hidden="1">
      <c r="A18" s="408">
        <f>IF(B18&gt;0,"Warmwasser dezentral",0)</f>
        <v>0</v>
      </c>
      <c r="B18" s="284">
        <f t="shared" si="0"/>
        <v>0</v>
      </c>
      <c r="C18" s="62">
        <f>Zusatzeingaben!C98</f>
        <v>0</v>
      </c>
      <c r="D18" s="62">
        <f>Zusatzeingaben!D98</f>
        <v>0</v>
      </c>
      <c r="E18" s="62">
        <f>Zusatzeingaben!E98</f>
        <v>0</v>
      </c>
      <c r="F18" s="62">
        <f>Zusatzeingaben!F98</f>
        <v>0</v>
      </c>
      <c r="G18" s="62">
        <f>Zusatzeingaben!G98</f>
        <v>0</v>
      </c>
      <c r="H18" s="62">
        <f>Zusatzeingaben!H98</f>
        <v>0</v>
      </c>
      <c r="I18" s="110">
        <f>Zusatzeingaben!I98</f>
        <v>0</v>
      </c>
    </row>
    <row r="19" spans="1:11" hidden="1">
      <c r="A19" s="408">
        <f>IF(B19&gt;0,"erwerbsunfähig, Merkzeichen G",0)</f>
        <v>0</v>
      </c>
      <c r="B19" s="284">
        <f t="shared" si="0"/>
        <v>0</v>
      </c>
      <c r="C19" s="62">
        <f>IF(Zusatzeingaben!C34="nein",Zusatzeingaben!C100,0)</f>
        <v>0</v>
      </c>
      <c r="D19" s="62">
        <f>IF(Zusatzeingaben!D34="nein",Zusatzeingaben!D100,0)</f>
        <v>0</v>
      </c>
      <c r="E19" s="62">
        <f>IF(Zusatzeingaben!E34="nein",Zusatzeingaben!E100,0)</f>
        <v>0</v>
      </c>
      <c r="F19" s="62">
        <f>IF(Zusatzeingaben!F34="nein",Zusatzeingaben!F100,0)</f>
        <v>0</v>
      </c>
      <c r="G19" s="62">
        <f>IF(Zusatzeingaben!G34="nein",Zusatzeingaben!G100,0)</f>
        <v>0</v>
      </c>
      <c r="H19" s="62">
        <f>IF(Zusatzeingaben!H34="nein",Zusatzeingaben!H100,0)</f>
        <v>0</v>
      </c>
      <c r="I19" s="110">
        <f>IF(Zusatzeingaben!I34="nein",Zusatzeingaben!I100,0)</f>
        <v>0</v>
      </c>
    </row>
    <row r="20" spans="1:11" ht="18" hidden="1" customHeight="1">
      <c r="A20" s="228" t="s">
        <v>13</v>
      </c>
      <c r="B20" s="62"/>
      <c r="C20" s="309"/>
      <c r="D20" s="309"/>
      <c r="E20" s="309"/>
      <c r="F20" s="295"/>
      <c r="G20" s="295"/>
      <c r="H20" s="295"/>
      <c r="I20" s="296"/>
    </row>
    <row r="21" spans="1:11" hidden="1">
      <c r="A21" s="243"/>
      <c r="B21" s="62">
        <f>Zusatzeingaben!C102</f>
        <v>0</v>
      </c>
      <c r="C21" s="62">
        <f>B21/B7</f>
        <v>0</v>
      </c>
      <c r="D21" s="62">
        <f>IF(D9=0,0,B21/B7)</f>
        <v>0</v>
      </c>
      <c r="E21" s="62">
        <f>IF(Zusatzeingaben!E33=0,0,B21/B7)</f>
        <v>0</v>
      </c>
      <c r="F21" s="62">
        <f>IF(Zusatzeingaben!F33=0,0,B21/B7)</f>
        <v>0</v>
      </c>
      <c r="G21" s="62">
        <f>IF(Zusatzeingaben!G33=0,0,B21/B7)</f>
        <v>0</v>
      </c>
      <c r="H21" s="62">
        <f>IF(Zusatzeingaben!H33=0,0,B21/B7)</f>
        <v>0</v>
      </c>
      <c r="I21" s="110">
        <f>IF(Zusatzeingaben!I33=0,0,B21/B7)</f>
        <v>0</v>
      </c>
    </row>
    <row r="22" spans="1:11" hidden="1">
      <c r="A22" s="229"/>
      <c r="B22" s="62">
        <f>SUM(C22:I22)</f>
        <v>0</v>
      </c>
      <c r="C22" s="62">
        <f>C21</f>
        <v>0</v>
      </c>
      <c r="D22" s="62">
        <f>D21</f>
        <v>0</v>
      </c>
      <c r="E22" s="62">
        <f>IF(Zusatzeingaben!E8&gt;Zusatzeingaben!E2,E21*Zusatzeingaben!E14/30,IF(Zusatzeingaben!E18=25,E21*Zusatzeingaben!E10/30,E21))</f>
        <v>0</v>
      </c>
      <c r="F22" s="62">
        <f>IF(Zusatzeingaben!F8&gt;Zusatzeingaben!E2,F21*Zusatzeingaben!F14/30,IF(Zusatzeingaben!F18=25,F21*Zusatzeingaben!F10/30,F21))</f>
        <v>0</v>
      </c>
      <c r="G22" s="62">
        <f>IF(Zusatzeingaben!G8&gt;Zusatzeingaben!E2,G21*Zusatzeingaben!G14/30,IF(Zusatzeingaben!G18=25,G21*Zusatzeingaben!G10/30,G21))</f>
        <v>0</v>
      </c>
      <c r="H22" s="62">
        <f>IF(Zusatzeingaben!H8&gt;Zusatzeingaben!E2,H21*Zusatzeingaben!H14/30,IF(Zusatzeingaben!H18=25,H21*Zusatzeingaben!H10/30,H21))</f>
        <v>0</v>
      </c>
      <c r="I22" s="110">
        <f>IF(Zusatzeingaben!I8&gt;Zusatzeingaben!E2,I21*Zusatzeingaben!I14/30,IF(Zusatzeingaben!I18=25,I21*Zusatzeingaben!I10/30,I21))</f>
        <v>0</v>
      </c>
      <c r="K22" s="359">
        <f>COUNTIF(C22:I22,C22)</f>
        <v>7</v>
      </c>
    </row>
    <row r="23" spans="1:11" hidden="1">
      <c r="A23" s="243"/>
      <c r="B23" s="62">
        <f>SUM(C23:I23)</f>
        <v>0</v>
      </c>
      <c r="C23" s="62">
        <f>IF(AND(B22&lt;B21,C22=C21,C22&gt;0),C21+(B21-B22)/K22,C22)</f>
        <v>0</v>
      </c>
      <c r="D23" s="62">
        <f>IF(AND(B22&lt;B21,D22=D21,D22&gt;0),D21+(B21-B22)/K22,D22)</f>
        <v>0</v>
      </c>
      <c r="E23" s="62">
        <f>IF(AND(B22&lt;B21,E22=E21,E22&gt;0),E21+(B21-B22)/K22,E22)</f>
        <v>0</v>
      </c>
      <c r="F23" s="62">
        <f>IF(AND(B22&lt;B21,F22=F21,F22&gt;0),F21+(B21-B22)/K22,F22)</f>
        <v>0</v>
      </c>
      <c r="G23" s="62">
        <f>IF(AND(B22&lt;B21,G22=G21,G22&gt;0),G21+(B21-B22)/K22,G22)</f>
        <v>0</v>
      </c>
      <c r="H23" s="62">
        <f>IF(AND(B22&lt;B21,H22=H21,H22&gt;0),H21+(B21-B22)/K22,H22)</f>
        <v>0</v>
      </c>
      <c r="I23" s="110">
        <f>IF(AND(B22&lt;B21,I22=I21,I22&gt;0),I21+(B21-B22)/K22,I22)</f>
        <v>0</v>
      </c>
    </row>
    <row r="24" spans="1:11" hidden="1">
      <c r="A24" s="409">
        <f>IF(B24&gt;0,Zusatzeingaben!A102,0)</f>
        <v>0</v>
      </c>
      <c r="B24" s="284">
        <f>SUM(C24:I24)</f>
        <v>0</v>
      </c>
      <c r="C24" s="62">
        <f>IF(Zusatzeingaben!$K$18&gt;0,C22,C23)</f>
        <v>0</v>
      </c>
      <c r="D24" s="62">
        <f>IF(Zusatzeingaben!$K$18&gt;0,D22,D23)</f>
        <v>0</v>
      </c>
      <c r="E24" s="62">
        <f>IF(Zusatzeingaben!$K$18&gt;0,E22,E23)</f>
        <v>0</v>
      </c>
      <c r="F24" s="62">
        <f>IF(Zusatzeingaben!$K$18&gt;0,F22,F23)</f>
        <v>0</v>
      </c>
      <c r="G24" s="62">
        <f>IF(Zusatzeingaben!$K$18&gt;0,G22,G23)</f>
        <v>0</v>
      </c>
      <c r="H24" s="62">
        <f>IF(Zusatzeingaben!$K$18&gt;0,H22,H23)</f>
        <v>0</v>
      </c>
      <c r="I24" s="110">
        <f>IF(Zusatzeingaben!$K$18&gt;0,I22,I23)</f>
        <v>0</v>
      </c>
    </row>
    <row r="25" spans="1:11" hidden="1">
      <c r="A25" s="410" t="str">
        <f>Zusatzeingaben!A103</f>
        <v>weitere Kosten</v>
      </c>
      <c r="B25" s="62">
        <f>Zusatzeingaben!C103</f>
        <v>0</v>
      </c>
      <c r="C25" s="62">
        <f>B25/B7</f>
        <v>0</v>
      </c>
      <c r="D25" s="62">
        <f>IF(D9="",0,B25/B7)</f>
        <v>0</v>
      </c>
      <c r="E25" s="62">
        <f>IF(E9="",0,B25/B7)</f>
        <v>0</v>
      </c>
      <c r="F25" s="62">
        <f>IF(F9="",0,B25/B7)</f>
        <v>0</v>
      </c>
      <c r="G25" s="62">
        <f>IF(G9="",0,B25/B7)</f>
        <v>0</v>
      </c>
      <c r="H25" s="62">
        <f>IF(H9="",0,B25/B7)</f>
        <v>0</v>
      </c>
      <c r="I25" s="110">
        <f>IF(I9="",0,B25/B7)</f>
        <v>0</v>
      </c>
    </row>
    <row r="26" spans="1:11" hidden="1">
      <c r="A26" s="411"/>
      <c r="B26" s="62">
        <f>Zusatzeingaben!C104</f>
        <v>0</v>
      </c>
      <c r="C26" s="62">
        <f>B26/B7</f>
        <v>0</v>
      </c>
      <c r="D26" s="62">
        <f>IF(D9=0,0,B26/B7)</f>
        <v>0</v>
      </c>
      <c r="E26" s="62">
        <f>IF(Zusatzeingaben!E33=0,0,B26/B7)</f>
        <v>0</v>
      </c>
      <c r="F26" s="62">
        <f>IF(Zusatzeingaben!F33=0,0,B26/B7)</f>
        <v>0</v>
      </c>
      <c r="G26" s="62">
        <f>IF(Zusatzeingaben!G33=0,0,B26/B7)</f>
        <v>0</v>
      </c>
      <c r="H26" s="62">
        <f>IF(Zusatzeingaben!H33=0,0,B26/B7)</f>
        <v>0</v>
      </c>
      <c r="I26" s="110">
        <f>IF(Zusatzeingaben!I33=0,0,B26/B7)</f>
        <v>0</v>
      </c>
    </row>
    <row r="27" spans="1:11" hidden="1">
      <c r="A27" s="409"/>
      <c r="B27" s="62">
        <f>SUM(C27:I27)</f>
        <v>0</v>
      </c>
      <c r="C27" s="62">
        <f>C26</f>
        <v>0</v>
      </c>
      <c r="D27" s="62">
        <f>D26</f>
        <v>0</v>
      </c>
      <c r="E27" s="62">
        <f>IF(Zusatzeingaben!E8&gt;Zusatzeingaben!E2,E26*Zusatzeingaben!E14/30,IF(Zusatzeingaben!E18=25,E26*Zusatzeingaben!E10/30,E26))</f>
        <v>0</v>
      </c>
      <c r="F27" s="62">
        <f>IF(Zusatzeingaben!F8&gt;Zusatzeingaben!E2,F26*Zusatzeingaben!F14/30,IF(Zusatzeingaben!F18=25,F26*Zusatzeingaben!F10/30,F26))</f>
        <v>0</v>
      </c>
      <c r="G27" s="62">
        <f>IF(Zusatzeingaben!G8&gt;Zusatzeingaben!E2,G26*Zusatzeingaben!G14/30,IF(Zusatzeingaben!G18=25,G26*Zusatzeingaben!G10/30,G26))</f>
        <v>0</v>
      </c>
      <c r="H27" s="62">
        <f>IF(Zusatzeingaben!H8&gt;Zusatzeingaben!E2,H26*Zusatzeingaben!H14/30,IF(Zusatzeingaben!H18=25,H26*Zusatzeingaben!H10/30,H26))</f>
        <v>0</v>
      </c>
      <c r="I27" s="110">
        <f>IF(Zusatzeingaben!I8&gt;Zusatzeingaben!E2,I26*Zusatzeingaben!I14/30,IF(Zusatzeingaben!I18=25,I26*Zusatzeingaben!I10/30,I26))</f>
        <v>0</v>
      </c>
      <c r="K27" s="359">
        <f>COUNTIF(C27:I27,C27)</f>
        <v>7</v>
      </c>
    </row>
    <row r="28" spans="1:11" hidden="1">
      <c r="A28" s="411"/>
      <c r="B28" s="62">
        <f>SUM(C28:I28)</f>
        <v>0</v>
      </c>
      <c r="C28" s="62">
        <f>IF(AND(B27&lt;B26,C27=C26,C27&gt;0),C26+(B26-B27)/K27,C27)</f>
        <v>0</v>
      </c>
      <c r="D28" s="62">
        <f>IF(AND(B27&lt;B26,D27=D26,D27&gt;0),D26+(B26-B27)/K27,D27)</f>
        <v>0</v>
      </c>
      <c r="E28" s="62">
        <f>IF(AND(B27&lt;B26,E27=E26,E27&gt;0),E26+(B26-B27)/K27,E27)</f>
        <v>0</v>
      </c>
      <c r="F28" s="62">
        <f>IF(AND(B27&lt;B26,F27=F26,F27&gt;0),F26+(B26-B27)/K27,F27)</f>
        <v>0</v>
      </c>
      <c r="G28" s="62">
        <f>IF(AND(B27&lt;B26,G27=G26,G27&gt;0),G26+(B26-B27)/K27,G27)</f>
        <v>0</v>
      </c>
      <c r="H28" s="62">
        <f>IF(AND(B27&lt;B26,H27=H26,H27&gt;0),H26+(B26-B27)/K27,H27)</f>
        <v>0</v>
      </c>
      <c r="I28" s="110">
        <f>IF(AND(B27&lt;B26,I27=I26,I27&gt;0),I26+(B26-B27)/K27,I27)</f>
        <v>0</v>
      </c>
    </row>
    <row r="29" spans="1:11" hidden="1">
      <c r="A29" s="409">
        <f>IF(B29&gt;0,Zusatzeingaben!A104,0)</f>
        <v>0</v>
      </c>
      <c r="B29" s="284">
        <f>SUM(C29:I29)</f>
        <v>0</v>
      </c>
      <c r="C29" s="62">
        <f>IF(Zusatzeingaben!$K$18&gt;0,C27,C28)</f>
        <v>0</v>
      </c>
      <c r="D29" s="62">
        <f>IF(Zusatzeingaben!$K$18&gt;0,D27,D28)</f>
        <v>0</v>
      </c>
      <c r="E29" s="62">
        <f>IF(Zusatzeingaben!$K$18&gt;0,E27,E28)</f>
        <v>0</v>
      </c>
      <c r="F29" s="62">
        <f>IF(Zusatzeingaben!$K$18&gt;0,F27,F28)</f>
        <v>0</v>
      </c>
      <c r="G29" s="62">
        <f>IF(Zusatzeingaben!$K$18&gt;0,G27,G28)</f>
        <v>0</v>
      </c>
      <c r="H29" s="62">
        <f>IF(Zusatzeingaben!$K$18&gt;0,H27,H28)</f>
        <v>0</v>
      </c>
      <c r="I29" s="110">
        <f>IF(Zusatzeingaben!$K$18&gt;0,I27,I28)</f>
        <v>0</v>
      </c>
    </row>
    <row r="30" spans="1:11" hidden="1">
      <c r="A30" s="411"/>
      <c r="B30" s="62">
        <f>Zusatzeingaben!C105</f>
        <v>0</v>
      </c>
      <c r="C30" s="62">
        <f>B30/B7</f>
        <v>0</v>
      </c>
      <c r="D30" s="62">
        <f>IF(D9=0,0,B30/B7)</f>
        <v>0</v>
      </c>
      <c r="E30" s="62">
        <f>IF(Zusatzeingaben!E33=0,0,B30/B7)</f>
        <v>0</v>
      </c>
      <c r="F30" s="62">
        <f>IF(Zusatzeingaben!F33=0,0,B30/B7)</f>
        <v>0</v>
      </c>
      <c r="G30" s="62">
        <f>IF(Zusatzeingaben!G33=0,0,B30/B7)</f>
        <v>0</v>
      </c>
      <c r="H30" s="62">
        <f>IF(Zusatzeingaben!H33=0,0,B30/B7)</f>
        <v>0</v>
      </c>
      <c r="I30" s="110">
        <f>IF(Zusatzeingaben!I33=0,0,B30/B7)</f>
        <v>0</v>
      </c>
    </row>
    <row r="31" spans="1:11" hidden="1">
      <c r="A31" s="409"/>
      <c r="B31" s="62">
        <f>SUM(C31:I31)</f>
        <v>0</v>
      </c>
      <c r="C31" s="62">
        <f>C30</f>
        <v>0</v>
      </c>
      <c r="D31" s="62">
        <f>D30</f>
        <v>0</v>
      </c>
      <c r="E31" s="62">
        <f>IF(Zusatzeingaben!E8&gt;Zusatzeingaben!E2,E30*Zusatzeingaben!E14/30,IF(Zusatzeingaben!E18=25,E30*Zusatzeingaben!E10/30,E30))</f>
        <v>0</v>
      </c>
      <c r="F31" s="62">
        <f>IF(Zusatzeingaben!F8&gt;Zusatzeingaben!E2,F30*Zusatzeingaben!F14/30,IF(Zusatzeingaben!F18=25,F30*Zusatzeingaben!F10/30,F30))</f>
        <v>0</v>
      </c>
      <c r="G31" s="62">
        <f>IF(Zusatzeingaben!G8&gt;Zusatzeingaben!E2,G30*Zusatzeingaben!G14/30,IF(Zusatzeingaben!G18=25,G30*Zusatzeingaben!G10/30,G30))</f>
        <v>0</v>
      </c>
      <c r="H31" s="62">
        <f>IF(Zusatzeingaben!H8&gt;Zusatzeingaben!E2,H30*Zusatzeingaben!H14/30,IF(Zusatzeingaben!H18=25,H30*Zusatzeingaben!H10/30,H30))</f>
        <v>0</v>
      </c>
      <c r="I31" s="110">
        <f>IF(Zusatzeingaben!I8&gt;Zusatzeingaben!E2,I30*Zusatzeingaben!I14/30,IF(Zusatzeingaben!I18=25,I30*Zusatzeingaben!I10/30,I30))</f>
        <v>0</v>
      </c>
      <c r="K31" s="359">
        <f>COUNTIF(C31:I31,C31)</f>
        <v>7</v>
      </c>
    </row>
    <row r="32" spans="1:11" hidden="1">
      <c r="A32" s="411"/>
      <c r="B32" s="62">
        <f>SUM(C32:I32)</f>
        <v>0</v>
      </c>
      <c r="C32" s="62">
        <f>IF(AND(B31&lt;B30,C31=C30,C31&gt;0),C30+(B30-B31)/K31,C31)</f>
        <v>0</v>
      </c>
      <c r="D32" s="62">
        <f>IF(AND(B31&lt;B30,D31=D30,D31&gt;0),D30+(B30-B31)/K31,D31)</f>
        <v>0</v>
      </c>
      <c r="E32" s="62">
        <f>IF(AND(B31&lt;B30,E31=E30,E31&gt;0),E30+(B30-B31)/K31,E31)</f>
        <v>0</v>
      </c>
      <c r="F32" s="62">
        <f>IF(AND(B31&lt;B30,F31=F30,F31&gt;0),F30+(B30-B31)/K31,F31)</f>
        <v>0</v>
      </c>
      <c r="G32" s="62">
        <f>IF(AND(B31&lt;B30,G31=G30,G31&gt;0),G30+(B30-B31)/K31,G31)</f>
        <v>0</v>
      </c>
      <c r="H32" s="62">
        <f>IF(AND(B31&lt;B30,H31=H30,H31&gt;0),H30+(B30-B31)/K31,H31)</f>
        <v>0</v>
      </c>
      <c r="I32" s="110">
        <f>IF(AND(B31&lt;B30,I31=I30,I31&gt;0),I30+(B30-B31)/K31,I31)</f>
        <v>0</v>
      </c>
    </row>
    <row r="33" spans="1:11" hidden="1">
      <c r="A33" s="409">
        <f>IF(B33&gt;0,Zusatzeingaben!A105,0)</f>
        <v>0</v>
      </c>
      <c r="B33" s="284">
        <f>SUM(C33:I33)</f>
        <v>0</v>
      </c>
      <c r="C33" s="62">
        <f>IF(Zusatzeingaben!$K$18&gt;0,C31,C32)</f>
        <v>0</v>
      </c>
      <c r="D33" s="62">
        <f>IF(Zusatzeingaben!$K$18&gt;0,D31,D32)</f>
        <v>0</v>
      </c>
      <c r="E33" s="62">
        <f>IF(Zusatzeingaben!$K$18&gt;0,E31,E32)</f>
        <v>0</v>
      </c>
      <c r="F33" s="62">
        <f>IF(Zusatzeingaben!$K$18&gt;0,F31,F32)</f>
        <v>0</v>
      </c>
      <c r="G33" s="62">
        <f>IF(Zusatzeingaben!$K$18&gt;0,G31,G32)</f>
        <v>0</v>
      </c>
      <c r="H33" s="62">
        <f>IF(Zusatzeingaben!$K$18&gt;0,H31,H32)</f>
        <v>0</v>
      </c>
      <c r="I33" s="110">
        <f>IF(Zusatzeingaben!$K$18&gt;0,I31,I32)</f>
        <v>0</v>
      </c>
    </row>
    <row r="34" spans="1:11" hidden="1">
      <c r="A34" s="411"/>
      <c r="B34" s="62">
        <f>Zusatzeingaben!C106</f>
        <v>0</v>
      </c>
      <c r="C34" s="62">
        <f>B34/B7</f>
        <v>0</v>
      </c>
      <c r="D34" s="62">
        <f>IF(D9=0,0,B34/B7)</f>
        <v>0</v>
      </c>
      <c r="E34" s="62">
        <f>IF(Zusatzeingaben!E33=0,0,B34/B7)</f>
        <v>0</v>
      </c>
      <c r="F34" s="62">
        <f>IF(Zusatzeingaben!F33=0,0,B34/B7)</f>
        <v>0</v>
      </c>
      <c r="G34" s="62">
        <f>IF(Zusatzeingaben!G33=0,0,B34/B7)</f>
        <v>0</v>
      </c>
      <c r="H34" s="62">
        <f>IF(Zusatzeingaben!H33=0,0,B34/B7)</f>
        <v>0</v>
      </c>
      <c r="I34" s="110">
        <f>IF(Zusatzeingaben!I33=0,0,B34/B7)</f>
        <v>0</v>
      </c>
    </row>
    <row r="35" spans="1:11" hidden="1">
      <c r="A35" s="409"/>
      <c r="B35" s="62">
        <f t="shared" ref="B35:B42" si="1">SUM(C35:I35)</f>
        <v>0</v>
      </c>
      <c r="C35" s="62">
        <f>C34</f>
        <v>0</v>
      </c>
      <c r="D35" s="62">
        <f>D34</f>
        <v>0</v>
      </c>
      <c r="E35" s="62">
        <f>IF(Zusatzeingaben!E8&gt;Zusatzeingaben!E2,E34*Zusatzeingaben!E14/30,IF(Zusatzeingaben!E18=25,E34*Zusatzeingaben!E10/30,E34))</f>
        <v>0</v>
      </c>
      <c r="F35" s="62">
        <f>IF(Zusatzeingaben!F8&gt;Zusatzeingaben!E2,F34*Zusatzeingaben!F14/30,IF(Zusatzeingaben!F18=25,F34*Zusatzeingaben!F10/30,F34))</f>
        <v>0</v>
      </c>
      <c r="G35" s="62">
        <f>IF(Zusatzeingaben!G8&gt;Zusatzeingaben!E2,G34*Zusatzeingaben!G14/30,IF(Zusatzeingaben!G18=25,G34*Zusatzeingaben!G10/30,G34))</f>
        <v>0</v>
      </c>
      <c r="H35" s="62">
        <f>IF(Zusatzeingaben!H8&gt;Zusatzeingaben!E2,H34*Zusatzeingaben!H14/30,IF(Zusatzeingaben!H18=25,H34*Zusatzeingaben!H10/30,H34))</f>
        <v>0</v>
      </c>
      <c r="I35" s="110">
        <f>IF(Zusatzeingaben!I8&gt;Zusatzeingaben!E2,I34*Zusatzeingaben!I14/30,IF(Zusatzeingaben!I18=25,I34*Zusatzeingaben!I10/30,I34))</f>
        <v>0</v>
      </c>
      <c r="K35" s="359">
        <f>COUNTIF(C35:I35,C35)</f>
        <v>7</v>
      </c>
    </row>
    <row r="36" spans="1:11" hidden="1">
      <c r="A36" s="411"/>
      <c r="B36" s="62">
        <f t="shared" si="1"/>
        <v>0</v>
      </c>
      <c r="C36" s="62">
        <f>IF(AND(B35&lt;B34,C35=C34,C35&gt;0),C34+(B34-B35)/K35,C35)</f>
        <v>0</v>
      </c>
      <c r="D36" s="62">
        <f>IF(AND(B35&lt;B34,D35=D34,D35&gt;0),D34+(B34-B35)/K35,D35)</f>
        <v>0</v>
      </c>
      <c r="E36" s="62">
        <f>IF(AND(B35&lt;B34,E35=E34,E35&gt;0),E34+(B34-B35)/K35,E35)</f>
        <v>0</v>
      </c>
      <c r="F36" s="62">
        <f>IF(AND(B35&lt;B34,F35=F34,F35&gt;0),F34+(B34-B35)/K35,F35)</f>
        <v>0</v>
      </c>
      <c r="G36" s="62">
        <f>IF(AND(B35&lt;B34,G35=G34,G35&gt;0),G34+(B34-B35)/K35,G35)</f>
        <v>0</v>
      </c>
      <c r="H36" s="62">
        <f>IF(AND(B35&lt;B34,H35=H34,H35&gt;0),H34+(B34-B35)/K35,H35)</f>
        <v>0</v>
      </c>
      <c r="I36" s="110">
        <f>IF(AND(B35&lt;B34,I35=I34,I35&gt;0),I34+(B34-B35)/K35,I35)</f>
        <v>0</v>
      </c>
    </row>
    <row r="37" spans="1:11" hidden="1">
      <c r="A37" s="409">
        <f>IF(B37&gt;0,Zusatzeingaben!A106,0)</f>
        <v>0</v>
      </c>
      <c r="B37" s="284">
        <f t="shared" si="1"/>
        <v>0</v>
      </c>
      <c r="C37" s="62">
        <f>IF(Zusatzeingaben!$K$18&gt;0,C35,C36)</f>
        <v>0</v>
      </c>
      <c r="D37" s="62">
        <f>IF(Zusatzeingaben!$K$18&gt;0,D35,D36)</f>
        <v>0</v>
      </c>
      <c r="E37" s="62">
        <f>IF(Zusatzeingaben!$K$18&gt;0,E35,E36)</f>
        <v>0</v>
      </c>
      <c r="F37" s="62">
        <f>IF(Zusatzeingaben!$K$18&gt;0,F35,F36)</f>
        <v>0</v>
      </c>
      <c r="G37" s="62">
        <f>IF(Zusatzeingaben!$K$18&gt;0,G35,G36)</f>
        <v>0</v>
      </c>
      <c r="H37" s="62">
        <f>IF(Zusatzeingaben!$K$18&gt;0,H35,H36)</f>
        <v>0</v>
      </c>
      <c r="I37" s="110">
        <f>IF(Zusatzeingaben!$K$18&gt;0,I35,I36)</f>
        <v>0</v>
      </c>
    </row>
    <row r="38" spans="1:11" hidden="1">
      <c r="A38" s="409"/>
      <c r="B38" s="62">
        <f t="shared" si="1"/>
        <v>0</v>
      </c>
      <c r="C38" s="62">
        <f>Zusatzeingaben!C114</f>
        <v>0</v>
      </c>
      <c r="D38" s="62">
        <f>Zusatzeingaben!D114</f>
        <v>0</v>
      </c>
      <c r="E38" s="62">
        <f>Zusatzeingaben!E114</f>
        <v>0</v>
      </c>
      <c r="F38" s="62">
        <f>Zusatzeingaben!F114</f>
        <v>0</v>
      </c>
      <c r="G38" s="62">
        <f>Zusatzeingaben!G114</f>
        <v>0</v>
      </c>
      <c r="H38" s="62">
        <f>Zusatzeingaben!H114</f>
        <v>0</v>
      </c>
      <c r="I38" s="110">
        <f>Zusatzeingaben!I114</f>
        <v>0</v>
      </c>
    </row>
    <row r="39" spans="1:11" hidden="1">
      <c r="A39" s="409"/>
      <c r="B39" s="62">
        <f t="shared" si="1"/>
        <v>0</v>
      </c>
      <c r="C39" s="62">
        <f>C38</f>
        <v>0</v>
      </c>
      <c r="D39" s="62">
        <f>D38</f>
        <v>0</v>
      </c>
      <c r="E39" s="62">
        <f>IF(Zusatzeingaben!E8&gt;Zusatzeingaben!$E$2,E38*Zusatzeingaben!E14/30,IF(Zusatzeingaben!E18=25,E38*Zusatzeingaben!E10/30,E38))</f>
        <v>0</v>
      </c>
      <c r="F39" s="62">
        <f>IF(Zusatzeingaben!F8&gt;Zusatzeingaben!$E$2,F38*Zusatzeingaben!F14/30,IF(Zusatzeingaben!F18=25,F38*Zusatzeingaben!F10/30,F38))</f>
        <v>0</v>
      </c>
      <c r="G39" s="62">
        <f>IF(Zusatzeingaben!G8&gt;Zusatzeingaben!$E$2,G38*Zusatzeingaben!G14/30,IF(Zusatzeingaben!G18=25,G38*Zusatzeingaben!G10/30,G38))</f>
        <v>0</v>
      </c>
      <c r="H39" s="62">
        <f>IF(Zusatzeingaben!H8&gt;Zusatzeingaben!$E$2,H38*Zusatzeingaben!H14/30,IF(Zusatzeingaben!H18=25,H38*Zusatzeingaben!H10/30,H38))</f>
        <v>0</v>
      </c>
      <c r="I39" s="110">
        <f>IF(Zusatzeingaben!I8&gt;Zusatzeingaben!$E$2,I38*Zusatzeingaben!I14/30,IF(Zusatzeingaben!I18=25,I38*Zusatzeingaben!I10/30,I38))</f>
        <v>0</v>
      </c>
      <c r="K39" s="359">
        <f>COUNTIF(C39:I39,C39)</f>
        <v>7</v>
      </c>
    </row>
    <row r="40" spans="1:11" hidden="1">
      <c r="A40" s="409"/>
      <c r="B40" s="62">
        <f t="shared" si="1"/>
        <v>0</v>
      </c>
      <c r="C40" s="62">
        <f>IF(AND(B39&lt;B38,C39=C38,C39&gt;0),C38+(B38-B39)/K39,C39)</f>
        <v>0</v>
      </c>
      <c r="D40" s="62">
        <f>IF(AND(B39&lt;B38,D39=D38,D39&gt;0),D38+(B38-B39)/K39,D39)</f>
        <v>0</v>
      </c>
      <c r="E40" s="62">
        <f>IF(AND(B39&lt;B38,E39=E38,E39&gt;0),E38+(B38-B39)/K39,E39)</f>
        <v>0</v>
      </c>
      <c r="F40" s="62">
        <f>IF(AND(B39&lt;B38,F39=F38,F39&gt;0),F38+(B38-B39)/K39,F39)</f>
        <v>0</v>
      </c>
      <c r="G40" s="62">
        <f>IF(AND(B39&lt;B38,G39=G38,G39&gt;0),G38+(B38-B39)/K39,G39)</f>
        <v>0</v>
      </c>
      <c r="H40" s="62">
        <f>IF(AND(B39&lt;B38,H39=H38,H39&gt;0),H38+(B38-B39)/K39,H39)</f>
        <v>0</v>
      </c>
      <c r="I40" s="110">
        <f>IF(AND(B39&lt;B38,I39=I38,I39&gt;0),I38+(B38-B39)/K39,I39)</f>
        <v>0</v>
      </c>
    </row>
    <row r="41" spans="1:11" hidden="1">
      <c r="A41" s="411"/>
      <c r="B41" s="62">
        <f t="shared" si="1"/>
        <v>0</v>
      </c>
      <c r="C41" s="62">
        <f>IF(Zusatzeingaben!$B$107&gt;0,C40,Zusatzeingaben!C114)</f>
        <v>0</v>
      </c>
      <c r="D41" s="62">
        <f>IF(Zusatzeingaben!$B$107&gt;0,D40,Zusatzeingaben!D114)</f>
        <v>0</v>
      </c>
      <c r="E41" s="62">
        <f>IF(Zusatzeingaben!$B$107&gt;0,E40,Zusatzeingaben!E114)</f>
        <v>0</v>
      </c>
      <c r="F41" s="62">
        <f>IF(Zusatzeingaben!$B$107&gt;0,F40,Zusatzeingaben!F114)</f>
        <v>0</v>
      </c>
      <c r="G41" s="62">
        <f>IF(Zusatzeingaben!$B$107&gt;0,G40,Zusatzeingaben!G114)</f>
        <v>0</v>
      </c>
      <c r="H41" s="62">
        <f>IF(Zusatzeingaben!$B$107&gt;0,H40,Zusatzeingaben!H114)</f>
        <v>0</v>
      </c>
      <c r="I41" s="110">
        <f>IF(Zusatzeingaben!$B$107&gt;0,I40,Zusatzeingaben!I114)</f>
        <v>0</v>
      </c>
    </row>
    <row r="42" spans="1:11" hidden="1">
      <c r="A42" s="409">
        <f>IF(B42&gt;0,"./. Kostenanteil für Haushaltsstrom",0)</f>
        <v>0</v>
      </c>
      <c r="B42" s="284">
        <f t="shared" si="1"/>
        <v>0</v>
      </c>
      <c r="C42" s="62">
        <f>IF(AND(Zusatzeingaben!$K$18&gt;0,Zusatzeingaben!$B$107&gt;0),C39,C41)</f>
        <v>0</v>
      </c>
      <c r="D42" s="62">
        <f>IF(AND(Zusatzeingaben!$K$18&gt;0,Zusatzeingaben!$B$107&gt;0),D39,D41)</f>
        <v>0</v>
      </c>
      <c r="E42" s="62">
        <f>IF(AND(Zusatzeingaben!$K$18&gt;0,Zusatzeingaben!$B$107&gt;0),E39,E41)</f>
        <v>0</v>
      </c>
      <c r="F42" s="62">
        <f>IF(AND(Zusatzeingaben!$K$18&gt;0,Zusatzeingaben!$B$107&gt;0),F39,F41)</f>
        <v>0</v>
      </c>
      <c r="G42" s="62">
        <f>IF(AND(Zusatzeingaben!$K$18&gt;0,Zusatzeingaben!$B$107&gt;0),G39,G41)</f>
        <v>0</v>
      </c>
      <c r="H42" s="62">
        <f>IF(AND(Zusatzeingaben!$K$18&gt;0,Zusatzeingaben!$B$107&gt;0),H39,H41)</f>
        <v>0</v>
      </c>
      <c r="I42" s="110">
        <f>IF(AND(Zusatzeingaben!$K$18&gt;0,Zusatzeingaben!$B$107&gt;0),I39,I41)</f>
        <v>0</v>
      </c>
    </row>
    <row r="43" spans="1:11" hidden="1">
      <c r="A43" s="411"/>
      <c r="B43" s="62">
        <f>Zusatzeingaben!C115</f>
        <v>0</v>
      </c>
      <c r="C43" s="62">
        <f>B43/B7</f>
        <v>0</v>
      </c>
      <c r="D43" s="62">
        <f>IF(D9=0,0,B43/B7)</f>
        <v>0</v>
      </c>
      <c r="E43" s="62">
        <f>IF(Zusatzeingaben!E33=0,0,B43/B7)</f>
        <v>0</v>
      </c>
      <c r="F43" s="62">
        <f>IF(Zusatzeingaben!F33=0,0,B43/B7)</f>
        <v>0</v>
      </c>
      <c r="G43" s="62">
        <f>IF(Zusatzeingaben!G33=0,0,B43/B7)</f>
        <v>0</v>
      </c>
      <c r="H43" s="62">
        <f>IF(Zusatzeingaben!H33=0,0,B43/B7)</f>
        <v>0</v>
      </c>
      <c r="I43" s="110">
        <f>IF(Zusatzeingaben!I33=0,0,B43/B7)</f>
        <v>0</v>
      </c>
    </row>
    <row r="44" spans="1:11" hidden="1">
      <c r="A44" s="409"/>
      <c r="B44" s="62">
        <f>SUM(C44:I44)</f>
        <v>0</v>
      </c>
      <c r="C44" s="62">
        <f>C43</f>
        <v>0</v>
      </c>
      <c r="D44" s="62">
        <f>D43</f>
        <v>0</v>
      </c>
      <c r="E44" s="62">
        <f>IF(Zusatzeingaben!E8&gt;Zusatzeingaben!E2,E43*Zusatzeingaben!E14/30,IF(Zusatzeingaben!E18=25,E43*Zusatzeingaben!E10/30,E43))</f>
        <v>0</v>
      </c>
      <c r="F44" s="62">
        <f>IF(Zusatzeingaben!F8&gt;Zusatzeingaben!E2,F43*Zusatzeingaben!F14/30,IF(Zusatzeingaben!F18=25,F43*Zusatzeingaben!F10/30,F43))</f>
        <v>0</v>
      </c>
      <c r="G44" s="62">
        <f>IF(Zusatzeingaben!G8&gt;Zusatzeingaben!E2,G43*Zusatzeingaben!G14/30,IF(Zusatzeingaben!G18=25,G43*Zusatzeingaben!G10/30,G43))</f>
        <v>0</v>
      </c>
      <c r="H44" s="62">
        <f>IF(Zusatzeingaben!H8&gt;Zusatzeingaben!E2,H43*Zusatzeingaben!H14/30,IF(Zusatzeingaben!H18=25,H43*Zusatzeingaben!H10/30,H43))</f>
        <v>0</v>
      </c>
      <c r="I44" s="110">
        <f>IF(Zusatzeingaben!I8&gt;Zusatzeingaben!E2,I43*Zusatzeingaben!I14/30,IF(Zusatzeingaben!I18=25,I43*Zusatzeingaben!I10/30,I43))</f>
        <v>0</v>
      </c>
      <c r="K44" s="359">
        <f>COUNTIF(C44:I44,C44)</f>
        <v>7</v>
      </c>
    </row>
    <row r="45" spans="1:11" hidden="1">
      <c r="A45" s="411"/>
      <c r="B45" s="62">
        <f>SUM(C45:I45)</f>
        <v>0</v>
      </c>
      <c r="C45" s="62">
        <f>IF(AND(B44&lt;B43,C44=C43,C44&gt;0),C43+(B43-B44)/K44,C44)</f>
        <v>0</v>
      </c>
      <c r="D45" s="62">
        <f>IF(AND(B44&lt;B43,D44=D43,D44&gt;0),D43+(B43-B44)/K44,D44)</f>
        <v>0</v>
      </c>
      <c r="E45" s="62">
        <f>IF(AND(B44&lt;B43,E44=E43,E44&gt;0),E43+(B43-B44)/K44,E44)</f>
        <v>0</v>
      </c>
      <c r="F45" s="62">
        <f>IF(AND(B44&lt;B43,F44=F43,F44&gt;0),F43+(B43-B44)/K44,F44)</f>
        <v>0</v>
      </c>
      <c r="G45" s="62">
        <f>IF(AND(B44&lt;B43,G44=G43,G44&gt;0),G43+(B43-B44)/K44,G44)</f>
        <v>0</v>
      </c>
      <c r="H45" s="62">
        <f>IF(AND(B44&lt;B43,H44=H43,H44&gt;0),H43+(B43-B44)/K44,H44)</f>
        <v>0</v>
      </c>
      <c r="I45" s="110">
        <f>IF(AND(B44&lt;B43,I44=I43,I44&gt;0),I43+(B43-B44)/K44,I44)</f>
        <v>0</v>
      </c>
    </row>
    <row r="46" spans="1:11" hidden="1">
      <c r="A46" s="409">
        <f>IF(B46&gt;0,"Heizkosten",0)</f>
        <v>0</v>
      </c>
      <c r="B46" s="284">
        <f>SUM(C46:I46)</f>
        <v>0</v>
      </c>
      <c r="C46" s="62">
        <f>IF(Zusatzeingaben!$K$18&gt;0,C44,C45)</f>
        <v>0</v>
      </c>
      <c r="D46" s="62">
        <f>IF(Zusatzeingaben!$K$18&gt;0,D44,D45)</f>
        <v>0</v>
      </c>
      <c r="E46" s="62">
        <f>IF(Zusatzeingaben!$K$18&gt;0,E44,E45)</f>
        <v>0</v>
      </c>
      <c r="F46" s="62">
        <f>IF(Zusatzeingaben!$K$18&gt;0,F44,F45)</f>
        <v>0</v>
      </c>
      <c r="G46" s="62">
        <f>IF(Zusatzeingaben!$K$18&gt;0,G44,G45)</f>
        <v>0</v>
      </c>
      <c r="H46" s="62">
        <f>IF(Zusatzeingaben!$K$18&gt;0,H44,H45)</f>
        <v>0</v>
      </c>
      <c r="I46" s="110">
        <f>IF(Zusatzeingaben!$K$18&gt;0,I44,I45)</f>
        <v>0</v>
      </c>
    </row>
    <row r="47" spans="1:11" hidden="1">
      <c r="A47" s="230" t="s">
        <v>41</v>
      </c>
      <c r="B47" s="209">
        <f>B24-B29+B33+B37-B42+B46</f>
        <v>0</v>
      </c>
      <c r="C47" s="209">
        <f t="shared" ref="C47:I47" si="2">C24-C29+C33+C37-C42+C46</f>
        <v>0</v>
      </c>
      <c r="D47" s="209">
        <f t="shared" si="2"/>
        <v>0</v>
      </c>
      <c r="E47" s="209">
        <f t="shared" si="2"/>
        <v>0</v>
      </c>
      <c r="F47" s="209">
        <f t="shared" si="2"/>
        <v>0</v>
      </c>
      <c r="G47" s="209">
        <f t="shared" si="2"/>
        <v>0</v>
      </c>
      <c r="H47" s="209">
        <f t="shared" si="2"/>
        <v>0</v>
      </c>
      <c r="I47" s="406">
        <f t="shared" si="2"/>
        <v>0</v>
      </c>
    </row>
    <row r="48" spans="1:11" ht="17.25" hidden="1" customHeight="1">
      <c r="A48" s="231">
        <f>IF(B49&gt;0,"Sonstiger Bedarf",0)</f>
        <v>0</v>
      </c>
      <c r="B48" s="13"/>
      <c r="C48" s="207"/>
      <c r="D48" s="207"/>
      <c r="E48" s="207"/>
      <c r="F48" s="207"/>
      <c r="G48" s="207"/>
      <c r="H48" s="207"/>
      <c r="I48" s="227"/>
    </row>
    <row r="49" spans="1:9" ht="16.5" hidden="1" customHeight="1" thickBot="1">
      <c r="A49" s="232">
        <f>IF(B49&gt;0,Zusatzeingaben!A117,0)</f>
        <v>0</v>
      </c>
      <c r="B49" s="210">
        <f>SUM(C49:I49)</f>
        <v>0</v>
      </c>
      <c r="C49" s="211">
        <f>Zusatzeingaben!C117</f>
        <v>0</v>
      </c>
      <c r="D49" s="211">
        <f>Zusatzeingaben!D117</f>
        <v>0</v>
      </c>
      <c r="E49" s="211">
        <f>Zusatzeingaben!E117</f>
        <v>0</v>
      </c>
      <c r="F49" s="211">
        <f>Zusatzeingaben!F117</f>
        <v>0</v>
      </c>
      <c r="G49" s="211">
        <f>Zusatzeingaben!G117</f>
        <v>0</v>
      </c>
      <c r="H49" s="211">
        <f>Zusatzeingaben!H117</f>
        <v>0</v>
      </c>
      <c r="I49" s="233">
        <f>Zusatzeingaben!I117</f>
        <v>0</v>
      </c>
    </row>
    <row r="50" spans="1:9" ht="23.25" hidden="1" customHeight="1" thickTop="1" thickBot="1">
      <c r="A50" s="343" t="s">
        <v>21</v>
      </c>
      <c r="B50" s="282">
        <f>SUM(C50:I50)</f>
        <v>416</v>
      </c>
      <c r="C50" s="282">
        <f t="shared" ref="C50:I50" si="3">C11+C13+C14+C15+C16+C17+C18+C19+C47+C49</f>
        <v>416</v>
      </c>
      <c r="D50" s="282">
        <f t="shared" si="3"/>
        <v>0</v>
      </c>
      <c r="E50" s="282">
        <f t="shared" si="3"/>
        <v>0</v>
      </c>
      <c r="F50" s="282">
        <f t="shared" si="3"/>
        <v>0</v>
      </c>
      <c r="G50" s="282">
        <f t="shared" si="3"/>
        <v>0</v>
      </c>
      <c r="H50" s="282">
        <f t="shared" si="3"/>
        <v>0</v>
      </c>
      <c r="I50" s="283">
        <f t="shared" si="3"/>
        <v>0</v>
      </c>
    </row>
    <row r="51" spans="1:9" ht="20.100000000000001" hidden="1" customHeight="1" thickBot="1">
      <c r="C51" s="173">
        <f>VLOOKUP(E3,Bedarfssätze!B7:C14,2)</f>
        <v>391</v>
      </c>
      <c r="D51" s="173">
        <f>VLOOKUP(E3,Bedarfssätze!E7:F14,2)</f>
        <v>353</v>
      </c>
      <c r="E51" s="173">
        <f>VLOOKUP(E3,Bedarfssätze!B25:C32,2)</f>
        <v>296</v>
      </c>
      <c r="F51" s="173">
        <f>VLOOKUP(E3,Bedarfssätze!E25:F32,2)</f>
        <v>261</v>
      </c>
      <c r="G51" s="173">
        <f>VLOOKUP(E3,Bedarfssätze!H25:I32,2)</f>
        <v>229</v>
      </c>
      <c r="H51" s="173">
        <f>VLOOKUP(E3,Bedarfssätze!H7:I14,2)</f>
        <v>313</v>
      </c>
    </row>
    <row r="52" spans="1:9" ht="23.25" hidden="1">
      <c r="A52" s="221"/>
      <c r="B52" s="345" t="s">
        <v>22</v>
      </c>
      <c r="C52" s="222"/>
      <c r="D52" s="222"/>
      <c r="E52" s="222"/>
      <c r="F52" s="222"/>
      <c r="G52" s="222"/>
      <c r="H52" s="222"/>
      <c r="I52" s="223"/>
    </row>
    <row r="53" spans="1:9" ht="17.25" hidden="1" customHeight="1">
      <c r="A53" s="224"/>
      <c r="B53" s="341" t="s">
        <v>1</v>
      </c>
      <c r="C53" s="341" t="str">
        <f>Zusatzeingaben!C4</f>
        <v>Antragsteller</v>
      </c>
      <c r="D53" s="341" t="str">
        <f>Zusatzeingaben!D4</f>
        <v>Partner(in)</v>
      </c>
      <c r="E53" s="341" t="str">
        <f>Zusatzeingaben!E4</f>
        <v>Kind 1</v>
      </c>
      <c r="F53" s="341" t="s">
        <v>8</v>
      </c>
      <c r="G53" s="341" t="s">
        <v>9</v>
      </c>
      <c r="H53" s="341" t="s">
        <v>10</v>
      </c>
      <c r="I53" s="342" t="s">
        <v>34</v>
      </c>
    </row>
    <row r="54" spans="1:9" hidden="1">
      <c r="A54" s="231" t="s">
        <v>54</v>
      </c>
      <c r="B54" s="208">
        <f>SUM(C54:I54)</f>
        <v>0</v>
      </c>
      <c r="C54" s="13">
        <f>Zusatzeingaben!C140</f>
        <v>0</v>
      </c>
      <c r="D54" s="13">
        <f>Zusatzeingaben!D140</f>
        <v>0</v>
      </c>
      <c r="E54" s="13">
        <f>Zusatzeingaben!E140</f>
        <v>0</v>
      </c>
      <c r="F54" s="13">
        <f>Zusatzeingaben!F140</f>
        <v>0</v>
      </c>
      <c r="G54" s="13">
        <f>Zusatzeingaben!G140</f>
        <v>0</v>
      </c>
      <c r="H54" s="13">
        <f>Zusatzeingaben!H140</f>
        <v>0</v>
      </c>
      <c r="I54" s="13">
        <f>Zusatzeingaben!I140</f>
        <v>0</v>
      </c>
    </row>
    <row r="55" spans="1:9" hidden="1">
      <c r="A55" s="408">
        <f>IF(B55&gt;0,"Nettolohn",0)</f>
        <v>0</v>
      </c>
      <c r="B55" s="284">
        <f>SUM(C55:I55)</f>
        <v>0</v>
      </c>
      <c r="C55" s="62">
        <f>Zusatzeingaben!C133</f>
        <v>0</v>
      </c>
      <c r="D55" s="62">
        <f>Zusatzeingaben!D133</f>
        <v>0</v>
      </c>
      <c r="E55" s="62">
        <f>Zusatzeingaben!E133</f>
        <v>0</v>
      </c>
      <c r="F55" s="62">
        <f>Zusatzeingaben!F133</f>
        <v>0</v>
      </c>
      <c r="G55" s="62">
        <f>Zusatzeingaben!G133</f>
        <v>0</v>
      </c>
      <c r="H55" s="62">
        <f>Zusatzeingaben!H133</f>
        <v>0</v>
      </c>
      <c r="I55" s="110">
        <f>Zusatzeingaben!I133</f>
        <v>0</v>
      </c>
    </row>
    <row r="56" spans="1:9" hidden="1">
      <c r="A56" s="408">
        <f>IF(B56&gt;0,"Ausbildungsvergütung (netto)",0)</f>
        <v>0</v>
      </c>
      <c r="B56" s="284">
        <f t="shared" ref="B56:B69" si="4">SUM(C56:I56)</f>
        <v>0</v>
      </c>
      <c r="C56" s="62">
        <f>Zusatzeingaben!C137</f>
        <v>0</v>
      </c>
      <c r="D56" s="62">
        <f>Zusatzeingaben!D137</f>
        <v>0</v>
      </c>
      <c r="E56" s="62">
        <f>Zusatzeingaben!E137</f>
        <v>0</v>
      </c>
      <c r="F56" s="62">
        <f>Zusatzeingaben!F137</f>
        <v>0</v>
      </c>
      <c r="G56" s="62">
        <f>Zusatzeingaben!G137</f>
        <v>0</v>
      </c>
      <c r="H56" s="62">
        <f>Zusatzeingaben!H137</f>
        <v>0</v>
      </c>
      <c r="I56" s="110">
        <f>Zusatzeingaben!I137</f>
        <v>0</v>
      </c>
    </row>
    <row r="57" spans="1:9" hidden="1">
      <c r="A57" s="408">
        <f>IF(B57&gt;0,Zusatzeingaben!A139,0)</f>
        <v>0</v>
      </c>
      <c r="B57" s="284">
        <f t="shared" si="4"/>
        <v>0</v>
      </c>
      <c r="C57" s="62">
        <f>Zusatzeingaben!C139</f>
        <v>0</v>
      </c>
      <c r="D57" s="62">
        <f>Zusatzeingaben!D139</f>
        <v>0</v>
      </c>
      <c r="E57" s="62">
        <f>Zusatzeingaben!E139</f>
        <v>0</v>
      </c>
      <c r="F57" s="62">
        <f>Zusatzeingaben!F139</f>
        <v>0</v>
      </c>
      <c r="G57" s="62">
        <f>Zusatzeingaben!G139</f>
        <v>0</v>
      </c>
      <c r="H57" s="62">
        <f>Zusatzeingaben!H139</f>
        <v>0</v>
      </c>
      <c r="I57" s="110">
        <f>Zusatzeingaben!I139</f>
        <v>0</v>
      </c>
    </row>
    <row r="58" spans="1:9" hidden="1">
      <c r="A58" s="408">
        <f>IF(B58&gt;0,"steuerfreie Einnahmen Ehrenamt o.ä.",0)</f>
        <v>0</v>
      </c>
      <c r="B58" s="284">
        <f t="shared" si="4"/>
        <v>0</v>
      </c>
      <c r="C58" s="62">
        <f>Zusatzeingaben!C138</f>
        <v>0</v>
      </c>
      <c r="D58" s="62">
        <f>Zusatzeingaben!D138</f>
        <v>0</v>
      </c>
      <c r="E58" s="62">
        <f>Zusatzeingaben!E138</f>
        <v>0</v>
      </c>
      <c r="F58" s="62">
        <f>Zusatzeingaben!F138</f>
        <v>0</v>
      </c>
      <c r="G58" s="62">
        <f>Zusatzeingaben!G138</f>
        <v>0</v>
      </c>
      <c r="H58" s="62">
        <f>Zusatzeingaben!H138</f>
        <v>0</v>
      </c>
      <c r="I58" s="110">
        <f>Zusatzeingaben!I138</f>
        <v>0</v>
      </c>
    </row>
    <row r="59" spans="1:9" hidden="1">
      <c r="A59" s="408">
        <f>IF(B59&gt;0,"Einkommen aus Freiwilligendienste",0)</f>
        <v>0</v>
      </c>
      <c r="B59" s="284">
        <f t="shared" si="4"/>
        <v>0</v>
      </c>
      <c r="C59" s="62">
        <f>Zusatzeingaben!C170</f>
        <v>0</v>
      </c>
      <c r="D59" s="62">
        <f>Zusatzeingaben!D170</f>
        <v>0</v>
      </c>
      <c r="E59" s="62">
        <f>Zusatzeingaben!E170</f>
        <v>0</v>
      </c>
      <c r="F59" s="62">
        <f>Zusatzeingaben!F170</f>
        <v>0</v>
      </c>
      <c r="G59" s="62">
        <f>Zusatzeingaben!G170</f>
        <v>0</v>
      </c>
      <c r="H59" s="62">
        <f>Zusatzeingaben!H170</f>
        <v>0</v>
      </c>
      <c r="I59" s="110">
        <f>Zusatzeingaben!I170</f>
        <v>0</v>
      </c>
    </row>
    <row r="60" spans="1:9" hidden="1">
      <c r="A60" s="408">
        <f>IF(B60&gt;0,"Elterngeld",0)</f>
        <v>0</v>
      </c>
      <c r="B60" s="284">
        <f t="shared" si="4"/>
        <v>0</v>
      </c>
      <c r="C60" s="62">
        <f>Zusatzeingaben!C174</f>
        <v>0</v>
      </c>
      <c r="D60" s="62">
        <f>Zusatzeingaben!D174</f>
        <v>0</v>
      </c>
      <c r="E60" s="62"/>
      <c r="F60" s="62"/>
      <c r="G60" s="62"/>
      <c r="H60" s="62"/>
      <c r="I60" s="110"/>
    </row>
    <row r="61" spans="1:9" hidden="1">
      <c r="A61" s="408">
        <f>IF(B61&gt;0,Zusatzeingaben!A180,0)</f>
        <v>0</v>
      </c>
      <c r="B61" s="284">
        <f t="shared" si="4"/>
        <v>0</v>
      </c>
      <c r="C61" s="62">
        <f>Zusatzeingaben!C180</f>
        <v>0</v>
      </c>
      <c r="D61" s="62">
        <f>Zusatzeingaben!D180</f>
        <v>0</v>
      </c>
      <c r="E61" s="62">
        <f>Zusatzeingaben!E180</f>
        <v>0</v>
      </c>
      <c r="F61" s="62">
        <f>Zusatzeingaben!F180</f>
        <v>0</v>
      </c>
      <c r="G61" s="62"/>
      <c r="H61" s="62"/>
      <c r="I61" s="110"/>
    </row>
    <row r="62" spans="1:9" hidden="1">
      <c r="A62" s="408">
        <f>IF(B62&gt;0,"Kindergeld",0)</f>
        <v>0</v>
      </c>
      <c r="B62" s="284">
        <f t="shared" si="4"/>
        <v>0</v>
      </c>
      <c r="C62" s="62">
        <f>Zusatzeingaben!C192</f>
        <v>0</v>
      </c>
      <c r="D62" s="62">
        <f>Zusatzeingaben!D192</f>
        <v>0</v>
      </c>
      <c r="E62" s="62">
        <f>Zusatzeingaben!E192</f>
        <v>0</v>
      </c>
      <c r="F62" s="62">
        <f>Zusatzeingaben!F192</f>
        <v>0</v>
      </c>
      <c r="G62" s="62">
        <f>Zusatzeingaben!G192</f>
        <v>0</v>
      </c>
      <c r="H62" s="62">
        <f>Zusatzeingaben!H192</f>
        <v>0</v>
      </c>
      <c r="I62" s="110">
        <f>Zusatzeingaben!I192</f>
        <v>0</v>
      </c>
    </row>
    <row r="63" spans="1:9" hidden="1">
      <c r="A63" s="408">
        <f>IF(B63&gt;0,"Unterhalt/Unterhaltsvorschuss",0)</f>
        <v>0</v>
      </c>
      <c r="B63" s="284">
        <f t="shared" si="4"/>
        <v>0</v>
      </c>
      <c r="C63" s="62">
        <f>Zusatzeingaben!C195</f>
        <v>0</v>
      </c>
      <c r="D63" s="62">
        <f>Zusatzeingaben!D195</f>
        <v>0</v>
      </c>
      <c r="E63" s="62">
        <f>Zusatzeingaben!E195</f>
        <v>0</v>
      </c>
      <c r="F63" s="62">
        <f>Zusatzeingaben!F195</f>
        <v>0</v>
      </c>
      <c r="G63" s="62">
        <f>Zusatzeingaben!G195</f>
        <v>0</v>
      </c>
      <c r="H63" s="62">
        <f>Zusatzeingaben!H195</f>
        <v>0</v>
      </c>
      <c r="I63" s="110">
        <f>Zusatzeingaben!I195</f>
        <v>0</v>
      </c>
    </row>
    <row r="64" spans="1:9" hidden="1">
      <c r="A64" s="408">
        <f>IF(B64&gt;0,Zusatzeingaben!A196,0)</f>
        <v>0</v>
      </c>
      <c r="B64" s="284">
        <f t="shared" si="4"/>
        <v>0</v>
      </c>
      <c r="C64" s="62">
        <f>Zusatzeingaben!C196</f>
        <v>0</v>
      </c>
      <c r="D64" s="62">
        <f>Zusatzeingaben!D196</f>
        <v>0</v>
      </c>
      <c r="E64" s="62">
        <f>Zusatzeingaben!E196</f>
        <v>0</v>
      </c>
      <c r="F64" s="62">
        <f>Zusatzeingaben!F196</f>
        <v>0</v>
      </c>
      <c r="G64" s="62">
        <f>Zusatzeingaben!G196</f>
        <v>0</v>
      </c>
      <c r="H64" s="62">
        <f>Zusatzeingaben!H196</f>
        <v>0</v>
      </c>
      <c r="I64" s="110">
        <f>Zusatzeingaben!I196</f>
        <v>0</v>
      </c>
    </row>
    <row r="65" spans="1:9" hidden="1">
      <c r="A65" s="408">
        <f>IF(B65&gt;0,"Altersrente",0)</f>
        <v>0</v>
      </c>
      <c r="B65" s="284">
        <f t="shared" si="4"/>
        <v>0</v>
      </c>
      <c r="C65" s="62">
        <f>Zusatzeingaben!C197</f>
        <v>0</v>
      </c>
      <c r="D65" s="62">
        <f>Zusatzeingaben!D197</f>
        <v>0</v>
      </c>
      <c r="E65" s="62">
        <f>Zusatzeingaben!E197</f>
        <v>0</v>
      </c>
      <c r="F65" s="62">
        <f>Zusatzeingaben!F197</f>
        <v>0</v>
      </c>
      <c r="G65" s="62">
        <f>Zusatzeingaben!G197</f>
        <v>0</v>
      </c>
      <c r="H65" s="62">
        <f>Zusatzeingaben!H197</f>
        <v>0</v>
      </c>
      <c r="I65" s="110">
        <f>Zusatzeingaben!I197</f>
        <v>0</v>
      </c>
    </row>
    <row r="66" spans="1:9" hidden="1">
      <c r="A66" s="408">
        <f>IF(B66&gt;0,Zusatzeingaben!A198,0)</f>
        <v>0</v>
      </c>
      <c r="B66" s="284">
        <f t="shared" si="4"/>
        <v>0</v>
      </c>
      <c r="C66" s="62">
        <f>Zusatzeingaben!C198</f>
        <v>0</v>
      </c>
      <c r="D66" s="62">
        <f>Zusatzeingaben!D198</f>
        <v>0</v>
      </c>
      <c r="E66" s="62">
        <f>Zusatzeingaben!E198</f>
        <v>0</v>
      </c>
      <c r="F66" s="62">
        <f>Zusatzeingaben!F198</f>
        <v>0</v>
      </c>
      <c r="G66" s="62">
        <f>Zusatzeingaben!G198</f>
        <v>0</v>
      </c>
      <c r="H66" s="62">
        <f>Zusatzeingaben!H198</f>
        <v>0</v>
      </c>
      <c r="I66" s="110">
        <f>Zusatzeingaben!I198</f>
        <v>0</v>
      </c>
    </row>
    <row r="67" spans="1:9" ht="16.5" hidden="1" customHeight="1" thickBot="1">
      <c r="A67" s="413">
        <f>IF(B67&gt;0,Zusatzeingaben!A199,0)</f>
        <v>0</v>
      </c>
      <c r="B67" s="285">
        <f t="shared" si="4"/>
        <v>0</v>
      </c>
      <c r="C67" s="286">
        <f>Zusatzeingaben!C199</f>
        <v>0</v>
      </c>
      <c r="D67" s="286">
        <f>Zusatzeingaben!D199</f>
        <v>0</v>
      </c>
      <c r="E67" s="286">
        <f>Zusatzeingaben!E199</f>
        <v>0</v>
      </c>
      <c r="F67" s="286">
        <f>Zusatzeingaben!F199</f>
        <v>0</v>
      </c>
      <c r="G67" s="286">
        <f>Zusatzeingaben!G199</f>
        <v>0</v>
      </c>
      <c r="H67" s="286">
        <f>Zusatzeingaben!H199</f>
        <v>0</v>
      </c>
      <c r="I67" s="287">
        <f>Zusatzeingaben!I199</f>
        <v>0</v>
      </c>
    </row>
    <row r="68" spans="1:9" ht="18" hidden="1" thickTop="1" thickBot="1">
      <c r="A68" s="262"/>
      <c r="B68" s="288"/>
      <c r="C68" s="132">
        <f t="shared" ref="C68:I68" si="5">SUM(C60:C67)</f>
        <v>0</v>
      </c>
      <c r="D68" s="132">
        <f t="shared" si="5"/>
        <v>0</v>
      </c>
      <c r="E68" s="132">
        <f t="shared" si="5"/>
        <v>0</v>
      </c>
      <c r="F68" s="132">
        <f t="shared" si="5"/>
        <v>0</v>
      </c>
      <c r="G68" s="132">
        <f t="shared" si="5"/>
        <v>0</v>
      </c>
      <c r="H68" s="132">
        <f t="shared" si="5"/>
        <v>0</v>
      </c>
      <c r="I68" s="133">
        <f t="shared" si="5"/>
        <v>0</v>
      </c>
    </row>
    <row r="69" spans="1:9" ht="18" hidden="1" thickTop="1" thickBot="1">
      <c r="A69" s="242" t="s">
        <v>26</v>
      </c>
      <c r="B69" s="289">
        <f t="shared" si="4"/>
        <v>0</v>
      </c>
      <c r="C69" s="290">
        <f t="shared" ref="C69:I69" si="6">SUM(C55:C67)</f>
        <v>0</v>
      </c>
      <c r="D69" s="290">
        <f t="shared" si="6"/>
        <v>0</v>
      </c>
      <c r="E69" s="290">
        <f t="shared" si="6"/>
        <v>0</v>
      </c>
      <c r="F69" s="290">
        <f t="shared" si="6"/>
        <v>0</v>
      </c>
      <c r="G69" s="290">
        <f t="shared" si="6"/>
        <v>0</v>
      </c>
      <c r="H69" s="290">
        <f t="shared" si="6"/>
        <v>0</v>
      </c>
      <c r="I69" s="291">
        <f t="shared" si="6"/>
        <v>0</v>
      </c>
    </row>
    <row r="70" spans="1:9" ht="16.5" hidden="1" customHeight="1">
      <c r="A70" s="411"/>
      <c r="B70" s="62"/>
      <c r="C70" s="128">
        <f>IF(AND(Zusatzeingaben!C161&gt;0,Zusatzeingaben!C164=Zusatzeingaben!C161),0,Zusatzeingaben!C203)</f>
        <v>0</v>
      </c>
      <c r="D70" s="128">
        <f>IF(AND(Zusatzeingaben!D161&gt;0,Zusatzeingaben!D164=Zusatzeingaben!D161),0,Zusatzeingaben!D203)</f>
        <v>0</v>
      </c>
      <c r="E70" s="128">
        <f>IF(AND(Zusatzeingaben!E161&gt;0,Zusatzeingaben!E164=Zusatzeingaben!E161),0,Zusatzeingaben!E203)</f>
        <v>0</v>
      </c>
      <c r="F70" s="128">
        <f>IF(AND(Zusatzeingaben!F161&gt;0,Zusatzeingaben!F164=Zusatzeingaben!F161),0,Zusatzeingaben!F203)</f>
        <v>0</v>
      </c>
      <c r="G70" s="128">
        <f>IF(AND(Zusatzeingaben!G161&gt;0,Zusatzeingaben!G164=Zusatzeingaben!G161),0,Zusatzeingaben!G203)</f>
        <v>0</v>
      </c>
      <c r="H70" s="128">
        <f>IF(AND(Zusatzeingaben!H161&gt;0,Zusatzeingaben!H164=Zusatzeingaben!H161),0,Zusatzeingaben!H203)</f>
        <v>0</v>
      </c>
      <c r="I70" s="190">
        <f>IF(AND(Zusatzeingaben!I161&gt;0,Zusatzeingaben!I164=Zusatzeingaben!I161),0,Zusatzeingaben!I203)</f>
        <v>0</v>
      </c>
    </row>
    <row r="71" spans="1:9" ht="16.5" hidden="1" customHeight="1">
      <c r="A71" s="411"/>
      <c r="B71" s="62"/>
      <c r="C71" s="128">
        <f>IF(AND(Zusatzeingaben!C215&gt;C112,C77&lt;0),C70+C77,C70)</f>
        <v>0</v>
      </c>
      <c r="D71" s="128">
        <f>IF(AND(Zusatzeingaben!D215&gt;D112,D77&lt;0),D70+D77,D70)</f>
        <v>0</v>
      </c>
      <c r="E71" s="128">
        <f>IF(AND(Zusatzeingaben!E215&gt;E112,E77&lt;0),E70+E77,E70)</f>
        <v>0</v>
      </c>
      <c r="F71" s="128">
        <f>IF(AND(Zusatzeingaben!F215&gt;F112,F77&lt;0),F70+F77,F70)</f>
        <v>0</v>
      </c>
      <c r="G71" s="128">
        <f>IF(AND(Zusatzeingaben!G215&gt;G112,G77&lt;0),G70+G77,G70)</f>
        <v>0</v>
      </c>
      <c r="H71" s="128">
        <f>IF(AND(Zusatzeingaben!H215&gt;H112,H77&lt;0),H70+H77,H70)</f>
        <v>0</v>
      </c>
      <c r="I71" s="190">
        <f>IF(AND(Zusatzeingaben!I215&gt;I112,I77&lt;0),I70+I77,I70)</f>
        <v>0</v>
      </c>
    </row>
    <row r="72" spans="1:9" ht="16.5" hidden="1" customHeight="1">
      <c r="A72" s="411"/>
      <c r="B72" s="62"/>
      <c r="C72" s="128">
        <f>IF(AND(C112&gt;0,Zusatzeingaben!C215&lt;C112),0,C71)</f>
        <v>0</v>
      </c>
      <c r="D72" s="128">
        <f>IF(AND(D112&gt;0,Zusatzeingaben!D215&lt;D112),0,D71)</f>
        <v>0</v>
      </c>
      <c r="E72" s="128">
        <f>IF(AND(E112&gt;0,Zusatzeingaben!E215&lt;E112),0,E71)</f>
        <v>0</v>
      </c>
      <c r="F72" s="128">
        <f>IF(AND(F112&gt;0,Zusatzeingaben!F215&lt;F112),0,F71)</f>
        <v>0</v>
      </c>
      <c r="G72" s="128">
        <f>IF(AND(G112&gt;0,Zusatzeingaben!G215&lt;G112),0,G71)</f>
        <v>0</v>
      </c>
      <c r="H72" s="128">
        <f>IF(AND(H112&gt;0,Zusatzeingaben!H215&lt;H112),0,H71)</f>
        <v>0</v>
      </c>
      <c r="I72" s="190">
        <f>IF(AND(I112&gt;0,Zusatzeingaben!I215&lt;I112),0,I71)</f>
        <v>0</v>
      </c>
    </row>
    <row r="73" spans="1:9" ht="16.5" hidden="1" customHeight="1">
      <c r="A73" s="411"/>
      <c r="B73" s="62"/>
      <c r="C73" s="128">
        <f>IF(C112=0,Zusatzeingaben!C203,0)</f>
        <v>0</v>
      </c>
      <c r="D73" s="128">
        <f>IF(D112=0,Zusatzeingaben!D203,0)</f>
        <v>0</v>
      </c>
      <c r="E73" s="128">
        <f>IF(E112=0,Zusatzeingaben!E203,0)</f>
        <v>0</v>
      </c>
      <c r="F73" s="128">
        <f>IF(F112=0,Zusatzeingaben!F203,0)</f>
        <v>0</v>
      </c>
      <c r="G73" s="128">
        <f>IF(G112=0,Zusatzeingaben!G203,0)</f>
        <v>0</v>
      </c>
      <c r="H73" s="128">
        <f>IF(H112=0,Zusatzeingaben!H203,0)</f>
        <v>0</v>
      </c>
      <c r="I73" s="190">
        <f>IF(I112=0,Zusatzeingaben!I203,0)</f>
        <v>0</v>
      </c>
    </row>
    <row r="74" spans="1:9" ht="16.5" hidden="1" customHeight="1" thickBot="1">
      <c r="A74" s="411"/>
      <c r="B74" s="298"/>
      <c r="C74" s="132">
        <f>IF(C73=30,C73,C72)</f>
        <v>0</v>
      </c>
      <c r="D74" s="132">
        <f t="shared" ref="D74:I74" si="7">IF(D73=30,D73,D72)</f>
        <v>0</v>
      </c>
      <c r="E74" s="132">
        <f t="shared" si="7"/>
        <v>0</v>
      </c>
      <c r="F74" s="132">
        <f t="shared" si="7"/>
        <v>0</v>
      </c>
      <c r="G74" s="132">
        <f t="shared" si="7"/>
        <v>0</v>
      </c>
      <c r="H74" s="132">
        <f t="shared" si="7"/>
        <v>0</v>
      </c>
      <c r="I74" s="133">
        <f t="shared" si="7"/>
        <v>0</v>
      </c>
    </row>
    <row r="75" spans="1:9" hidden="1">
      <c r="A75" s="414">
        <f>IF(B75&gt;0,"./. Versicherungspauschale",0)</f>
        <v>0</v>
      </c>
      <c r="B75" s="292">
        <f>SUM(C75:I75)</f>
        <v>0</v>
      </c>
      <c r="C75" s="715">
        <f>IF(C69=0,0,IF(C74&lt;0,0,IF(AND(C113&gt;0,C54&lt;=400),0,IF(AND(C113&gt;0,Zusatzeingaben!C141=0),0,IF(AND(C61&gt;0,C119=Zusatzeingaben!C189,Zusatzeingaben!C189&gt;0),0,C74)))))</f>
        <v>0</v>
      </c>
      <c r="D75" s="715">
        <f>IF(D69=0,0,IF(D74&lt;0,0,IF(AND(D113&gt;0,D54&lt;=400),0,IF(AND(D113&gt;0,Zusatzeingaben!D141=0),0,IF(AND(D61&gt;0,D119=Zusatzeingaben!D189,Zusatzeingaben!D189&gt;0),0,D74)))))</f>
        <v>0</v>
      </c>
      <c r="E75" s="715">
        <f>IF(E69=0,0,IF(E74&lt;0,0,IF(AND(E113&gt;0,E54&lt;=400),0,IF(AND(E113&gt;0,Zusatzeingaben!E141=0),0,IF(AND(E61&gt;0,E119=Zusatzeingaben!E189,Zusatzeingaben!E189&gt;0),0,E74)))))</f>
        <v>0</v>
      </c>
      <c r="F75" s="715">
        <f>IF(F69=0,0,IF(F74&lt;0,0,IF(AND(F113&gt;0,F54&lt;=400),0,IF(AND(F113&gt;0,Zusatzeingaben!F141=0),0,IF(AND(F61&gt;0,F119=Zusatzeingaben!F189,Zusatzeingaben!F189&gt;0),0,F74)))))</f>
        <v>0</v>
      </c>
      <c r="G75" s="715">
        <f>IF(G69=0,0,IF(G74&lt;0,0,IF(AND(G113&gt;0,G54&lt;=400),0,IF(AND(G113&gt;0,Zusatzeingaben!G141=0),0,IF(AND(G61&gt;0,G119=Zusatzeingaben!G189,Zusatzeingaben!G189&gt;0),0,G74)))))</f>
        <v>0</v>
      </c>
      <c r="H75" s="715">
        <f>IF(H69=0,0,IF(H74&lt;0,0,IF(AND(H113&gt;0,H54&lt;=400),0,IF(AND(H113&gt;0,Zusatzeingaben!H141=0),0,IF(AND(H61&gt;0,H119=Zusatzeingaben!H189,Zusatzeingaben!H189&gt;0),0,H74)))))</f>
        <v>0</v>
      </c>
      <c r="I75" s="716">
        <f>IF(I69=0,0,IF(I74&lt;0,0,IF(AND(I113&gt;0,I54&lt;=400),0,IF(AND(I113&gt;0,Zusatzeingaben!I141=0),0,IF(AND(I61&gt;0,I119=Zusatzeingaben!I189,Zusatzeingaben!I189&gt;0),0,I74)))))</f>
        <v>0</v>
      </c>
    </row>
    <row r="76" spans="1:9" hidden="1">
      <c r="A76" s="411"/>
      <c r="B76" s="62"/>
      <c r="C76" s="128">
        <f>IF(AND(Zusatzeingaben!C161&gt;0,Zusatzeingaben!C164=Zusatzeingaben!C161),0,Zusatzeingaben!C204-Zusatzeingaben!C161)</f>
        <v>0</v>
      </c>
      <c r="D76" s="128">
        <f>IF(AND(Zusatzeingaben!D161&gt;0,Zusatzeingaben!D164=Zusatzeingaben!D161),0,Zusatzeingaben!D204-Zusatzeingaben!D161)</f>
        <v>0</v>
      </c>
      <c r="E76" s="128">
        <f>IF(AND(Zusatzeingaben!E161&gt;0,Zusatzeingaben!E164=Zusatzeingaben!E161),0,Zusatzeingaben!E204-Zusatzeingaben!E161)</f>
        <v>0</v>
      </c>
      <c r="F76" s="128">
        <f>IF(AND(Zusatzeingaben!F161&gt;0,Zusatzeingaben!F164=Zusatzeingaben!F161),0,Zusatzeingaben!F204-Zusatzeingaben!F161)</f>
        <v>0</v>
      </c>
      <c r="G76" s="128">
        <f>IF(AND(Zusatzeingaben!G161&gt;0,Zusatzeingaben!G164=Zusatzeingaben!G161),0,Zusatzeingaben!G204-Zusatzeingaben!G161)</f>
        <v>0</v>
      </c>
      <c r="H76" s="128">
        <f>IF(AND(Zusatzeingaben!H161&gt;0,Zusatzeingaben!H164=Zusatzeingaben!H161),0,Zusatzeingaben!H204-Zusatzeingaben!H161)</f>
        <v>0</v>
      </c>
      <c r="I76" s="190">
        <f>IF(AND(Zusatzeingaben!I161&gt;0,Zusatzeingaben!I164=Zusatzeingaben!I161),0,Zusatzeingaben!I204-Zusatzeingaben!I161)</f>
        <v>0</v>
      </c>
    </row>
    <row r="77" spans="1:9" hidden="1">
      <c r="A77" s="411"/>
      <c r="B77" s="62"/>
      <c r="C77" s="128">
        <f>IF(AND(C70&gt;0,C76&gt;Zusatzeingaben!C204),Zusatzeingaben!C204,C76)</f>
        <v>0</v>
      </c>
      <c r="D77" s="128">
        <f>IF(AND(D70&gt;0,D76&gt;Zusatzeingaben!D204),Zusatzeingaben!D204,D76)</f>
        <v>0</v>
      </c>
      <c r="E77" s="128">
        <f>IF(AND(E70&gt;0,E76&gt;Zusatzeingaben!E204),Zusatzeingaben!E204,E76)</f>
        <v>0</v>
      </c>
      <c r="F77" s="128">
        <f>IF(AND(F70&gt;0,F76&gt;Zusatzeingaben!F204),Zusatzeingaben!F204,F76)</f>
        <v>0</v>
      </c>
      <c r="G77" s="128">
        <f>IF(AND(G70&gt;0,G76&gt;Zusatzeingaben!G204),Zusatzeingaben!G204,G76)</f>
        <v>0</v>
      </c>
      <c r="H77" s="128">
        <f>IF(AND(H70&gt;0,H76&gt;Zusatzeingaben!H204),Zusatzeingaben!H204,H76)</f>
        <v>0</v>
      </c>
      <c r="I77" s="190">
        <f>IF(AND(I70&gt;0,I76&gt;Zusatzeingaben!I204),Zusatzeingaben!I204,I76)</f>
        <v>0</v>
      </c>
    </row>
    <row r="78" spans="1:9" hidden="1">
      <c r="A78" s="411"/>
      <c r="B78" s="62"/>
      <c r="C78" s="128">
        <f>IF(C112=0,Zusatzeingaben!C204,0)</f>
        <v>0</v>
      </c>
      <c r="D78" s="128">
        <f>IF(D112=0,Zusatzeingaben!D204,0)</f>
        <v>0</v>
      </c>
      <c r="E78" s="128">
        <f>IF(E112=0,Zusatzeingaben!E204,0)</f>
        <v>0</v>
      </c>
      <c r="F78" s="128">
        <f>IF(F112=0,Zusatzeingaben!F204,0)</f>
        <v>0</v>
      </c>
      <c r="G78" s="128">
        <f>IF(G112=0,Zusatzeingaben!G204,0)</f>
        <v>0</v>
      </c>
      <c r="H78" s="128">
        <f>IF(H112=0,Zusatzeingaben!H204,0)</f>
        <v>0</v>
      </c>
      <c r="I78" s="190">
        <f>IF(I112=0,Zusatzeingaben!I204,0)</f>
        <v>0</v>
      </c>
    </row>
    <row r="79" spans="1:9" hidden="1">
      <c r="A79" s="411"/>
      <c r="B79" s="62"/>
      <c r="C79" s="128">
        <f>IF(C78=Zusatzeingaben!C204,C78,C77)</f>
        <v>0</v>
      </c>
      <c r="D79" s="128">
        <f>IF(D78=Zusatzeingaben!D204,D78,D77)</f>
        <v>0</v>
      </c>
      <c r="E79" s="128">
        <f>IF(E78=Zusatzeingaben!E204,E78,E77)</f>
        <v>0</v>
      </c>
      <c r="F79" s="128">
        <f>IF(F78=Zusatzeingaben!F204,F78,F77)</f>
        <v>0</v>
      </c>
      <c r="G79" s="128">
        <f>IF(G78=Zusatzeingaben!G204,G78,G77)</f>
        <v>0</v>
      </c>
      <c r="H79" s="128">
        <f>IF(H78=Zusatzeingaben!H204,H78,H77)</f>
        <v>0</v>
      </c>
      <c r="I79" s="190">
        <f>IF(I78=Zusatzeingaben!I204,I78,I77)</f>
        <v>0</v>
      </c>
    </row>
    <row r="80" spans="1:9" hidden="1">
      <c r="A80" s="411"/>
      <c r="B80" s="62"/>
      <c r="C80" s="295">
        <f t="shared" ref="C80:I80" si="8">IF(OR(C79&lt;0,C69=0),0,C79)</f>
        <v>0</v>
      </c>
      <c r="D80" s="295">
        <f t="shared" si="8"/>
        <v>0</v>
      </c>
      <c r="E80" s="295">
        <f t="shared" si="8"/>
        <v>0</v>
      </c>
      <c r="F80" s="295">
        <f t="shared" si="8"/>
        <v>0</v>
      </c>
      <c r="G80" s="295">
        <f t="shared" si="8"/>
        <v>0</v>
      </c>
      <c r="H80" s="295">
        <f t="shared" si="8"/>
        <v>0</v>
      </c>
      <c r="I80" s="296">
        <f t="shared" si="8"/>
        <v>0</v>
      </c>
    </row>
    <row r="81" spans="1:11" hidden="1">
      <c r="A81" s="408">
        <f>IF(B81&gt;0,"./. Kfz-Haftpflichtversicherung",0)</f>
        <v>0</v>
      </c>
      <c r="B81" s="284">
        <f>SUM(C81:I81)</f>
        <v>0</v>
      </c>
      <c r="C81" s="295">
        <f>IF(AND(C113&gt;0,C54&lt;=400),0,IF(AND(C113&gt;0,Zusatzeingaben!C141=0),0,IF(AND(C119=Zusatzeingaben!C189,C61&gt;0,Zusatzeingaben!C189&gt;0),0,C80)))</f>
        <v>0</v>
      </c>
      <c r="D81" s="295">
        <f>IF(AND(D113&gt;0,D54&lt;=400),0,IF(AND(D113&gt;0,Zusatzeingaben!D141=0),0,IF(AND(D119=Zusatzeingaben!D189,D61&gt;0,Zusatzeingaben!D189&gt;0),0,D80)))</f>
        <v>0</v>
      </c>
      <c r="E81" s="295">
        <f>IF(AND(E113&gt;0,E54&lt;=400),0,IF(AND(E113&gt;0,Zusatzeingaben!E141=0),0,IF(AND(E119=Zusatzeingaben!E189,E61&gt;0,Zusatzeingaben!E189&gt;0),0,E80)))</f>
        <v>0</v>
      </c>
      <c r="F81" s="295">
        <f>IF(AND(F113&gt;0,F54&lt;=400),0,IF(AND(F113&gt;0,Zusatzeingaben!F141=0),0,IF(AND(F119=Zusatzeingaben!F189,F61&gt;0,Zusatzeingaben!F189&gt;0),0,F80)))</f>
        <v>0</v>
      </c>
      <c r="G81" s="295">
        <f>IF(AND(G113&gt;0,G54&lt;=400),0,IF(AND(G113&gt;0,Zusatzeingaben!G141=0),0,IF(AND(G119=Zusatzeingaben!G189,G61&gt;0,Zusatzeingaben!G189&gt;0),0,G80)))</f>
        <v>0</v>
      </c>
      <c r="H81" s="295">
        <f>IF(AND(H113&gt;0,H54&lt;=400),0,IF(AND(H113&gt;0,Zusatzeingaben!H141=0),0,IF(AND(H119=Zusatzeingaben!H189,H61&gt;0,Zusatzeingaben!H189&gt;0),0,H80)))</f>
        <v>0</v>
      </c>
      <c r="I81" s="296">
        <f>IF(AND(I113&gt;0,I54&lt;=400),0,IF(AND(I113&gt;0,Zusatzeingaben!I141=0),0,IF(AND(I119=Zusatzeingaben!I189,I61&gt;0,Zusatzeingaben!I189&gt;0),0,I80)))</f>
        <v>0</v>
      </c>
      <c r="K81" s="616"/>
    </row>
    <row r="82" spans="1:11" ht="18" hidden="1" customHeight="1">
      <c r="A82" s="411"/>
      <c r="B82" s="128"/>
      <c r="C82" s="128">
        <f>IF(AND(Zusatzeingaben!C161&gt;0,Zusatzeingaben!C164=Zusatzeingaben!C161),0,Zusatzeingaben!C205+Zuschuss§26!C17+Zuschuss§26!C18+Zuschuss§26!C51+Zuschuss§26!C57)</f>
        <v>0</v>
      </c>
      <c r="D82" s="128">
        <f>IF(AND(Zusatzeingaben!D161&gt;0,Zusatzeingaben!D164=Zusatzeingaben!D161),0,Zusatzeingaben!D205+Zuschuss§26!D17+Zuschuss§26!D18+Zuschuss§26!D51+Zuschuss§26!D57)</f>
        <v>0</v>
      </c>
      <c r="E82" s="128">
        <f>IF(AND(Zusatzeingaben!E161&gt;0,Zusatzeingaben!E164=Zusatzeingaben!E161),0,Zusatzeingaben!E205+Zuschuss§26!E17+Zuschuss§26!E18+Zuschuss§26!E51+Zuschuss§26!E57)</f>
        <v>0</v>
      </c>
      <c r="F82" s="128">
        <f>IF(AND(Zusatzeingaben!F161&gt;0,Zusatzeingaben!F164=Zusatzeingaben!F161),0,Zusatzeingaben!F205+Zuschuss§26!F17+Zuschuss§26!F18+Zuschuss§26!F51+Zuschuss§26!F57)</f>
        <v>0</v>
      </c>
      <c r="G82" s="128">
        <f>IF(AND(Zusatzeingaben!G161&gt;0,Zusatzeingaben!G164=Zusatzeingaben!G161),0,Zusatzeingaben!G205+Zuschuss§26!G17+Zuschuss§26!G18+Zuschuss§26!G51+Zuschuss§26!G57)</f>
        <v>0</v>
      </c>
      <c r="H82" s="128">
        <f>IF(AND(Zusatzeingaben!H161&gt;0,Zusatzeingaben!H164=Zusatzeingaben!H161),0,Zusatzeingaben!H205+Zuschuss§26!H17+Zuschuss§26!H18+Zuschuss§26!H51+Zuschuss§26!H57)</f>
        <v>0</v>
      </c>
      <c r="I82" s="128">
        <f>IF(AND(Zusatzeingaben!I161&gt;0,Zusatzeingaben!I164=Zusatzeingaben!I161),0,Zusatzeingaben!I205+Zuschuss§26!I17+Zuschuss§26!I18+Zuschuss§26!I51+Zuschuss§26!I57)</f>
        <v>0</v>
      </c>
      <c r="K82" s="616"/>
    </row>
    <row r="83" spans="1:11" ht="18" hidden="1" customHeight="1">
      <c r="A83" s="411"/>
      <c r="B83" s="128"/>
      <c r="C83" s="128">
        <f>IF(AND(Zusatzeingaben!C215&gt;C112,C77&lt;&gt;Zusatzeingaben!C204),C82,0)</f>
        <v>0</v>
      </c>
      <c r="D83" s="128">
        <f>IF(AND(Zusatzeingaben!D215&gt;D112,D77&lt;&gt;Zusatzeingaben!D204),D82,0)</f>
        <v>0</v>
      </c>
      <c r="E83" s="128">
        <f>IF(AND(Zusatzeingaben!E215&gt;E112,E77&lt;&gt;Zusatzeingaben!E204),E82,0)</f>
        <v>0</v>
      </c>
      <c r="F83" s="128">
        <f>IF(AND(Zusatzeingaben!F215&gt;F112,F77&lt;&gt;Zusatzeingaben!F204),F82,0)</f>
        <v>0</v>
      </c>
      <c r="G83" s="128">
        <f>IF(AND(Zusatzeingaben!G215&gt;G112,G77&lt;&gt;Zusatzeingaben!G204),G82,0)</f>
        <v>0</v>
      </c>
      <c r="H83" s="128">
        <f>IF(AND(Zusatzeingaben!H215&gt;H112,H77&lt;&gt;Zusatzeingaben!H204),H82,0)</f>
        <v>0</v>
      </c>
      <c r="I83" s="190">
        <f>IF(AND(Zusatzeingaben!I215&gt;I112,I77&lt;&gt;Zusatzeingaben!I204),I82,0)</f>
        <v>0</v>
      </c>
      <c r="K83" s="616"/>
    </row>
    <row r="84" spans="1:11" ht="18" hidden="1" customHeight="1">
      <c r="A84" s="411"/>
      <c r="B84" s="128"/>
      <c r="C84" s="128">
        <f>IF(AND(Zuschuss§26!C27=0,C112=0),Zusatzeingaben!C205,IF(AND(C112=0,Zuschuss§26!C45=0,Zuschuss§26!C18&gt;0),Zusatzeingaben!C205+Zuschuss§26!C17+Zuschuss§26!C18,IF(AND(OR(Zuschuss§26!C51&gt;0,Zuschuss§26!C57&gt;0),C112=0),Zusatzeingaben!C205+Zuschuss§26!C51+Zuschuss§26!C57,0)))</f>
        <v>0</v>
      </c>
      <c r="D84" s="128">
        <f>IF(AND(Zuschuss§26!D27=0,D112=0),Zusatzeingaben!D205,IF(AND(D112=0,Zuschuss§26!D45=0,Zuschuss§26!D18&gt;0),Zusatzeingaben!D205+Zuschuss§26!D17+Zuschuss§26!D18,IF(AND(OR(Zuschuss§26!D51&gt;0,Zuschuss§26!D57&gt;0),D112=0),Zusatzeingaben!D205+Zuschuss§26!D51+Zuschuss§26!D57,0)))</f>
        <v>0</v>
      </c>
      <c r="E84" s="128">
        <f>IF(AND(Zuschuss§26!E27=0,E112=0),Zusatzeingaben!E205,IF(AND(E112=0,Zuschuss§26!E45=0,Zuschuss§26!E18&gt;0),Zusatzeingaben!E205+Zuschuss§26!E17+Zuschuss§26!E18,IF(AND(OR(Zuschuss§26!E51&gt;0,Zuschuss§26!E57&gt;0),E112=0),Zusatzeingaben!E205+Zuschuss§26!E51+Zuschuss§26!E57,0)))</f>
        <v>0</v>
      </c>
      <c r="F84" s="128">
        <f>IF(AND(Zuschuss§26!F27=0,F112=0),Zusatzeingaben!F205,IF(AND(F112=0,Zuschuss§26!F45=0,Zuschuss§26!F18&gt;0),Zusatzeingaben!F205+Zuschuss§26!F17+Zuschuss§26!F18,IF(AND(OR(Zuschuss§26!F51&gt;0,Zuschuss§26!F57&gt;0),F112=0),Zusatzeingaben!F205+Zuschuss§26!F51+Zuschuss§26!F57,0)))</f>
        <v>0</v>
      </c>
      <c r="G84" s="128">
        <f>IF(AND(Zuschuss§26!G27=0,G112=0),Zusatzeingaben!G205,IF(AND(G112=0,Zuschuss§26!G45=0,Zuschuss§26!G18&gt;0),Zusatzeingaben!G205+Zuschuss§26!G17+Zuschuss§26!G18,IF(AND(OR(Zuschuss§26!G51&gt;0,Zuschuss§26!G57&gt;0),G112=0),Zusatzeingaben!G205+Zuschuss§26!G51+Zuschuss§26!G57,0)))</f>
        <v>0</v>
      </c>
      <c r="H84" s="128">
        <f>IF(AND(Zuschuss§26!H27=0,H112=0),Zusatzeingaben!H205,IF(AND(H112=0,Zuschuss§26!H45=0,Zuschuss§26!H18&gt;0),Zusatzeingaben!H205+Zuschuss§26!H17+Zuschuss§26!H18,IF(AND(OR(Zuschuss§26!H51&gt;0,Zuschuss§26!H57&gt;0),H112=0),Zusatzeingaben!H205+Zuschuss§26!H51+Zuschuss§26!H57,0)))</f>
        <v>0</v>
      </c>
      <c r="I84" s="128">
        <f>IF(AND(Zuschuss§26!I27=0,I112=0),Zusatzeingaben!I205,IF(AND(I112=0,Zuschuss§26!I45=0,Zuschuss§26!I18&gt;0),Zusatzeingaben!I205+Zuschuss§26!I17+Zuschuss§26!I18,IF(AND(OR(Zuschuss§26!I51&gt;0,Zuschuss§26!I57&gt;0),I112=0),Zusatzeingaben!I205+Zuschuss§26!I51+Zuschuss§26!I57,0)))</f>
        <v>0</v>
      </c>
      <c r="K84" s="616"/>
    </row>
    <row r="85" spans="1:11" ht="18" hidden="1" customHeight="1">
      <c r="A85" s="411"/>
      <c r="B85" s="128"/>
      <c r="C85" s="128">
        <f>IF(C84=Zusatzeingaben!C205+Zuschuss§26!C17+Zuschuss§26!C18+Zuschuss§26!C51+Zuschuss§26!C57,C84,C83)</f>
        <v>0</v>
      </c>
      <c r="D85" s="128">
        <f>IF(D84=Zusatzeingaben!D205+Zuschuss§26!D17+Zuschuss§26!D18+Zuschuss§26!D51+Zuschuss§26!D57,D84,D83)</f>
        <v>0</v>
      </c>
      <c r="E85" s="128">
        <f>IF(E84=Zusatzeingaben!E205+Zuschuss§26!E17+Zuschuss§26!E18+Zuschuss§26!E51+Zuschuss§26!E57,E84,E83)</f>
        <v>0</v>
      </c>
      <c r="F85" s="128">
        <f>IF(F84=Zusatzeingaben!F205+Zuschuss§26!F17+Zuschuss§26!F18+Zuschuss§26!F51+Zuschuss§26!F57,F84,F83)</f>
        <v>0</v>
      </c>
      <c r="G85" s="128">
        <f>IF(G84=Zusatzeingaben!G205+Zuschuss§26!G17+Zuschuss§26!G18+Zuschuss§26!G51+Zuschuss§26!G57,G84,G83)</f>
        <v>0</v>
      </c>
      <c r="H85" s="128">
        <f>IF(H84=Zusatzeingaben!H205+Zuschuss§26!H17+Zuschuss§26!H18+Zuschuss§26!H51+Zuschuss§26!H57,H84,H83)</f>
        <v>0</v>
      </c>
      <c r="I85" s="128">
        <f>IF(I84=Zusatzeingaben!I205+Zuschuss§26!I17+Zuschuss§26!I18+Zuschuss§26!I51+Zuschuss§26!I57,I84,I83)</f>
        <v>0</v>
      </c>
    </row>
    <row r="86" spans="1:11" ht="18" hidden="1" customHeight="1">
      <c r="A86" s="408">
        <f>IF(B86&gt;0,"./. Beiträge Krankheit/ Alter/ ZVK",0)</f>
        <v>0</v>
      </c>
      <c r="B86" s="297">
        <f>SUM(C86:I86)</f>
        <v>0</v>
      </c>
      <c r="C86" s="295">
        <f>IF(C69=0,0,IF(AND(C113&gt;0,C54&lt;=400),0,IF(AND(C113&gt;0,Zusatzeingaben!C141=0),0,IF(AND(C119=Zusatzeingaben!C189,C61&gt;0,Zusatzeingaben!C189&gt;0),0,C85))))</f>
        <v>0</v>
      </c>
      <c r="D86" s="295">
        <f>IF(D69=0,0,IF(AND(D113&gt;0,D54&lt;=400),0,IF(AND(D113&gt;0,Zusatzeingaben!D141=0),0,IF(AND(D119=Zusatzeingaben!D189,D61&gt;0,Zusatzeingaben!D189&gt;0),0,D85))))</f>
        <v>0</v>
      </c>
      <c r="E86" s="295">
        <f>IF(E69=0,0,IF(AND(E113&gt;0,E54&lt;=400),0,IF(AND(E113&gt;0,Zusatzeingaben!E141=0),0,IF(AND(E119=Zusatzeingaben!E189,E61&gt;0,Zusatzeingaben!E189&gt;0),0,E85))))</f>
        <v>0</v>
      </c>
      <c r="F86" s="295">
        <f>IF(F69=0,0,IF(AND(F113&gt;0,F54&lt;=400),0,IF(AND(F113&gt;0,Zusatzeingaben!F141=0),0,IF(AND(F119=Zusatzeingaben!F189,F61&gt;0,Zusatzeingaben!F189&gt;0),0,F85))))</f>
        <v>0</v>
      </c>
      <c r="G86" s="295">
        <f>IF(G69=0,0,IF(AND(G113&gt;0,G54&lt;=400),0,IF(AND(G113&gt;0,Zusatzeingaben!G141=0),0,IF(AND(G119=Zusatzeingaben!G189,G61&gt;0,Zusatzeingaben!G189&gt;0),0,G85))))</f>
        <v>0</v>
      </c>
      <c r="H86" s="295">
        <f>IF(H69=0,0,IF(AND(H113&gt;0,H54&lt;=400),0,IF(AND(H113&gt;0,Zusatzeingaben!H141=0),0,IF(AND(H119=Zusatzeingaben!H189,H61&gt;0,Zusatzeingaben!H189&gt;0),0,H85))))</f>
        <v>0</v>
      </c>
      <c r="I86" s="296">
        <f>IF(I69=0,0,IF(AND(I113&gt;0,I54&lt;=400),0,IF(AND(I113&gt;0,Zusatzeingaben!I141=0),0,IF(AND(I119=Zusatzeingaben!I189,I61&gt;0,Zusatzeingaben!I189&gt;0),0,I85))))</f>
        <v>0</v>
      </c>
    </row>
    <row r="87" spans="1:11" ht="16.5" hidden="1" customHeight="1">
      <c r="A87" s="411"/>
      <c r="B87" s="128"/>
      <c r="C87" s="128">
        <f>IF(AND(Zusatzeingaben!C161&gt;0,Zusatzeingaben!C164=Zusatzeingaben!C161),0,Zusatzeingaben!C213)</f>
        <v>0</v>
      </c>
      <c r="D87" s="128">
        <f>IF(AND(Zusatzeingaben!D161&gt;0,Zusatzeingaben!D164=Zusatzeingaben!D161),0,Zusatzeingaben!D213)</f>
        <v>0</v>
      </c>
      <c r="E87" s="128">
        <f>IF(AND(Zusatzeingaben!E161&gt;0,Zusatzeingaben!E164=Zusatzeingaben!E161),0,Zusatzeingaben!E213)</f>
        <v>0</v>
      </c>
      <c r="F87" s="128">
        <f>IF(AND(Zusatzeingaben!F161&gt;0,Zusatzeingaben!F164=Zusatzeingaben!F161),0,Zusatzeingaben!F213)</f>
        <v>0</v>
      </c>
      <c r="G87" s="128">
        <f>IF(AND(Zusatzeingaben!G161&gt;0,Zusatzeingaben!G164=Zusatzeingaben!G161),0,Zusatzeingaben!G213)</f>
        <v>0</v>
      </c>
      <c r="H87" s="128">
        <f>IF(AND(Zusatzeingaben!H161&gt;0,Zusatzeingaben!H164=Zusatzeingaben!H161),0,Zusatzeingaben!H213)</f>
        <v>0</v>
      </c>
      <c r="I87" s="190">
        <f>IF(AND(Zusatzeingaben!I161&gt;0,Zusatzeingaben!I164=Zusatzeingaben!I161),0,Zusatzeingaben!I213)</f>
        <v>0</v>
      </c>
    </row>
    <row r="88" spans="1:11" ht="16.5" hidden="1" customHeight="1">
      <c r="A88" s="411"/>
      <c r="B88" s="128"/>
      <c r="C88" s="128">
        <f>IF(AND(Zusatzeingaben!C215&gt;C112,C77&lt;&gt;Zusatzeingaben!C204),C87,0)</f>
        <v>0</v>
      </c>
      <c r="D88" s="128">
        <f>IF(AND(Zusatzeingaben!D215&gt;D112,D77&lt;&gt;Zusatzeingaben!D204),D87,0)</f>
        <v>0</v>
      </c>
      <c r="E88" s="128">
        <f>IF(AND(Zusatzeingaben!E215&gt;E112,E77&lt;&gt;Zusatzeingaben!E204),E87,0)</f>
        <v>0</v>
      </c>
      <c r="F88" s="128">
        <f>IF(AND(Zusatzeingaben!F215&gt;F112,F77&lt;&gt;Zusatzeingaben!F204),F87,0)</f>
        <v>0</v>
      </c>
      <c r="G88" s="128">
        <f>IF(AND(Zusatzeingaben!G215&gt;G112,G77&lt;&gt;Zusatzeingaben!G204),G87,0)</f>
        <v>0</v>
      </c>
      <c r="H88" s="128">
        <f>IF(AND(Zusatzeingaben!H215&gt;H112,H77&lt;&gt;Zusatzeingaben!H204),H87,0)</f>
        <v>0</v>
      </c>
      <c r="I88" s="190">
        <f>IF(AND(Zusatzeingaben!I215&gt;I112,I77&lt;&gt;Zusatzeingaben!I204),I87,0)</f>
        <v>0</v>
      </c>
    </row>
    <row r="89" spans="1:11" ht="16.5" hidden="1" customHeight="1">
      <c r="A89" s="411"/>
      <c r="B89" s="128"/>
      <c r="C89" s="128">
        <f>IF(C112=0,Zusatzeingaben!C213,0)</f>
        <v>0</v>
      </c>
      <c r="D89" s="128">
        <f>IF(D112=0,Zusatzeingaben!D213,0)</f>
        <v>0</v>
      </c>
      <c r="E89" s="128">
        <f>IF(E112=0,Zusatzeingaben!E213,0)</f>
        <v>0</v>
      </c>
      <c r="F89" s="128">
        <f>IF(F112=0,Zusatzeingaben!F213,0)</f>
        <v>0</v>
      </c>
      <c r="G89" s="128">
        <f>IF(G112=0,Zusatzeingaben!G213,0)</f>
        <v>0</v>
      </c>
      <c r="H89" s="128">
        <f>IF(H112=0,Zusatzeingaben!H213,0)</f>
        <v>0</v>
      </c>
      <c r="I89" s="190">
        <f>IF(I112=0,Zusatzeingaben!I213,0)</f>
        <v>0</v>
      </c>
    </row>
    <row r="90" spans="1:11" ht="16.5" hidden="1" customHeight="1">
      <c r="A90" s="411"/>
      <c r="B90" s="128"/>
      <c r="C90" s="128">
        <f>IF(C89=Zusatzeingaben!C213,C89,C88)</f>
        <v>0</v>
      </c>
      <c r="D90" s="128">
        <f>IF(D89=Zusatzeingaben!D213,D89,D88)</f>
        <v>0</v>
      </c>
      <c r="E90" s="128">
        <f>IF(E89=Zusatzeingaben!E213,E89,E88)</f>
        <v>0</v>
      </c>
      <c r="F90" s="128">
        <f>IF(F89=Zusatzeingaben!F213,F89,F88)</f>
        <v>0</v>
      </c>
      <c r="G90" s="128">
        <f>IF(G89=Zusatzeingaben!G213,G89,G88)</f>
        <v>0</v>
      </c>
      <c r="H90" s="128">
        <f>IF(H89=Zusatzeingaben!H213,H89,H88)</f>
        <v>0</v>
      </c>
      <c r="I90" s="190">
        <f>IF(I89=Zusatzeingaben!I213,I89,I88)</f>
        <v>0</v>
      </c>
    </row>
    <row r="91" spans="1:11" hidden="1">
      <c r="A91" s="408">
        <f>IF(B91&gt;0,"./. Beiträge Riester-Rente",0)</f>
        <v>0</v>
      </c>
      <c r="B91" s="297">
        <f>SUM(C91:I91)</f>
        <v>0</v>
      </c>
      <c r="C91" s="295">
        <f>IF(C69=0,0,IF(AND(C113&gt;0,C54&lt;=400),0,IF(AND(C113&gt;0,Zusatzeingaben!C141=0),0,IF(AND(C119=Zusatzeingaben!C189,C61&gt;0,Zusatzeingaben!C189&gt;0),0,C90))))</f>
        <v>0</v>
      </c>
      <c r="D91" s="295">
        <f>IF(D69=0,0,IF(AND(D113&gt;0,D54&lt;=400),0,IF(AND(D113&gt;0,Zusatzeingaben!D141=0),0,IF(AND(D119=Zusatzeingaben!D189,D61&gt;0,Zusatzeingaben!D189&gt;0),0,D90))))</f>
        <v>0</v>
      </c>
      <c r="E91" s="295">
        <f>IF(E69=0,0,IF(AND(E113&gt;0,E54&lt;=400),0,IF(AND(E113&gt;0,Zusatzeingaben!E141=0),0,IF(AND(E119=Zusatzeingaben!E189,E61&gt;0,Zusatzeingaben!E189&gt;0),0,E90))))</f>
        <v>0</v>
      </c>
      <c r="F91" s="295">
        <f>IF(F69=0,0,IF(AND(F113&gt;0,F54&lt;=400),0,IF(AND(F113&gt;0,Zusatzeingaben!F141=0),0,IF(AND(F119=Zusatzeingaben!F189,F61&gt;0,Zusatzeingaben!F189&gt;0),0,F90))))</f>
        <v>0</v>
      </c>
      <c r="G91" s="295">
        <f>IF(G69=0,0,IF(AND(G113&gt;0,G54&lt;=400),0,IF(AND(G113&gt;0,Zusatzeingaben!G141=0),0,IF(AND(G119=Zusatzeingaben!G189,G61&gt;0,Zusatzeingaben!G189&gt;0),0,G90))))</f>
        <v>0</v>
      </c>
      <c r="H91" s="295">
        <f>IF(H69=0,0,IF(AND(H113&gt;0,H54&lt;=400),0,IF(AND(H113&gt;0,Zusatzeingaben!H141=0),0,IF(AND(H119=Zusatzeingaben!H189,H61&gt;0,Zusatzeingaben!H189&gt;0),0,H90))))</f>
        <v>0</v>
      </c>
      <c r="I91" s="296">
        <f>IF(I69=0,0,IF(AND(I113&gt;0,I54&lt;=400),0,IF(AND(I113&gt;0,Zusatzeingaben!I141=0),0,IF(AND(I119=Zusatzeingaben!I189,I61&gt;0,Zusatzeingaben!I189&gt;0),0,I90))))</f>
        <v>0</v>
      </c>
    </row>
    <row r="92" spans="1:11" hidden="1">
      <c r="A92" s="408"/>
      <c r="B92" s="128"/>
      <c r="C92" s="128">
        <f>IF(AND(Zusatzeingaben!C161&gt;0,Zusatzeingaben!C164=Zusatzeingaben!C161),0,Zusatzeingaben!C127)</f>
        <v>0</v>
      </c>
      <c r="D92" s="128">
        <f>IF(AND(Zusatzeingaben!D161&gt;0,Zusatzeingaben!D164=Zusatzeingaben!D161),0,Zusatzeingaben!D127)</f>
        <v>0</v>
      </c>
      <c r="E92" s="128">
        <f>IF(AND(Zusatzeingaben!E161&gt;0,Zusatzeingaben!E164=Zusatzeingaben!E161),0,Zusatzeingaben!E127)</f>
        <v>0</v>
      </c>
      <c r="F92" s="128">
        <f>IF(AND(Zusatzeingaben!F161&gt;0,Zusatzeingaben!F164=Zusatzeingaben!F161),0,Zusatzeingaben!F127)</f>
        <v>0</v>
      </c>
      <c r="G92" s="128">
        <f>IF(AND(Zusatzeingaben!G161&gt;0,Zusatzeingaben!G164=Zusatzeingaben!G161),0,Zusatzeingaben!G127)</f>
        <v>0</v>
      </c>
      <c r="H92" s="128">
        <f>IF(AND(Zusatzeingaben!H161&gt;0,Zusatzeingaben!H164=Zusatzeingaben!H161),0,Zusatzeingaben!H127)</f>
        <v>0</v>
      </c>
      <c r="I92" s="190">
        <f>IF(AND(Zusatzeingaben!I161&gt;0,Zusatzeingaben!I164=Zusatzeingaben!I161),0,Zusatzeingaben!I127)</f>
        <v>0</v>
      </c>
    </row>
    <row r="93" spans="1:11" hidden="1">
      <c r="A93" s="613"/>
      <c r="B93" s="128"/>
      <c r="C93" s="128">
        <f>IF(AND(Zusatzeingaben!C215&gt;C112,C77&lt;&gt;Zusatzeingaben!C127),C92,0)</f>
        <v>0</v>
      </c>
      <c r="D93" s="128">
        <f>IF(AND(Zusatzeingaben!D215&gt;D112,D77&lt;&gt;Zusatzeingaben!D127),D92,0)</f>
        <v>0</v>
      </c>
      <c r="E93" s="128">
        <f>IF(AND(Zusatzeingaben!E215&gt;E112,E77&lt;&gt;Zusatzeingaben!E127),E92,0)</f>
        <v>0</v>
      </c>
      <c r="F93" s="128">
        <f>IF(AND(Zusatzeingaben!F215&gt;F112,F77&lt;&gt;Zusatzeingaben!F127),F92,0)</f>
        <v>0</v>
      </c>
      <c r="G93" s="128">
        <f>IF(AND(Zusatzeingaben!G215&gt;G112,G77&lt;&gt;Zusatzeingaben!G127),G92,0)</f>
        <v>0</v>
      </c>
      <c r="H93" s="128">
        <f>IF(AND(Zusatzeingaben!H215&gt;H112,H77&lt;&gt;Zusatzeingaben!H127),H92,0)</f>
        <v>0</v>
      </c>
      <c r="I93" s="190">
        <f>IF(AND(Zusatzeingaben!I215&gt;I112,I77&lt;&gt;Zusatzeingaben!I127),I92,0)</f>
        <v>0</v>
      </c>
    </row>
    <row r="94" spans="1:11" hidden="1">
      <c r="A94" s="408"/>
      <c r="B94" s="128"/>
      <c r="C94" s="128">
        <f>IF(C112=0,Zusatzeingaben!C127,0)</f>
        <v>0</v>
      </c>
      <c r="D94" s="128">
        <f>IF(D112=0,Zusatzeingaben!D127,0)</f>
        <v>0</v>
      </c>
      <c r="E94" s="128">
        <f>IF(E112=0,Zusatzeingaben!E127,0)</f>
        <v>0</v>
      </c>
      <c r="F94" s="128">
        <f>IF(F112=0,Zusatzeingaben!F127,0)</f>
        <v>0</v>
      </c>
      <c r="G94" s="128">
        <f>IF(G112=0,Zusatzeingaben!G127,0)</f>
        <v>0</v>
      </c>
      <c r="H94" s="128">
        <f>IF(H112=0,Zusatzeingaben!H127,0)</f>
        <v>0</v>
      </c>
      <c r="I94" s="190">
        <f>IF(I112=0,Zusatzeingaben!I127,0)</f>
        <v>0</v>
      </c>
    </row>
    <row r="95" spans="1:11" hidden="1">
      <c r="A95" s="408"/>
      <c r="B95" s="128"/>
      <c r="C95" s="128">
        <f>IF(C94=Zusatzeingaben!C127,C94,C93)</f>
        <v>0</v>
      </c>
      <c r="D95" s="128">
        <f>IF(D94=Zusatzeingaben!D127,D94,D93)</f>
        <v>0</v>
      </c>
      <c r="E95" s="128">
        <f>IF(E94=Zusatzeingaben!E127,E94,E93)</f>
        <v>0</v>
      </c>
      <c r="F95" s="128">
        <f>IF(F94=Zusatzeingaben!F127,F94,F93)</f>
        <v>0</v>
      </c>
      <c r="G95" s="128">
        <f>IF(G94=Zusatzeingaben!G127,G94,G93)</f>
        <v>0</v>
      </c>
      <c r="H95" s="128">
        <f>IF(H94=Zusatzeingaben!H127,H94,H93)</f>
        <v>0</v>
      </c>
      <c r="I95" s="190">
        <f>IF(I94=Zusatzeingaben!I127,I94,I93)</f>
        <v>0</v>
      </c>
    </row>
    <row r="96" spans="1:11" hidden="1">
      <c r="A96" s="613"/>
      <c r="B96" s="128"/>
      <c r="C96" s="128">
        <f>IF(Zusatzeingaben!C140=0,0,C95)</f>
        <v>0</v>
      </c>
      <c r="D96" s="128">
        <f>IF(Zusatzeingaben!D140=0,0,D95)</f>
        <v>0</v>
      </c>
      <c r="E96" s="128">
        <f>IF(Zusatzeingaben!E140=0,0,E95)</f>
        <v>0</v>
      </c>
      <c r="F96" s="128">
        <f>IF(Zusatzeingaben!F140=0,0,F95)</f>
        <v>0</v>
      </c>
      <c r="G96" s="128">
        <f>IF(Zusatzeingaben!G140=0,0,G95)</f>
        <v>0</v>
      </c>
      <c r="H96" s="128">
        <f>IF(Zusatzeingaben!H140=0,0,H95)</f>
        <v>0</v>
      </c>
      <c r="I96" s="190">
        <f>IF(Zusatzeingaben!I140=0,0,I95)</f>
        <v>0</v>
      </c>
    </row>
    <row r="97" spans="1:9" hidden="1">
      <c r="A97" s="408">
        <f>IF(B97&gt;0,"./. Fahrtkosten",0)</f>
        <v>0</v>
      </c>
      <c r="B97" s="284">
        <f>SUM(C97:I97)</f>
        <v>0</v>
      </c>
      <c r="C97" s="295">
        <f t="shared" ref="C97:I97" si="9">IF(AND(C113&gt;0,C54&lt;=400),0,IF(C74&lt;0,C96+C74,IF(C69=0,0,C96)))</f>
        <v>0</v>
      </c>
      <c r="D97" s="295">
        <f t="shared" si="9"/>
        <v>0</v>
      </c>
      <c r="E97" s="295">
        <f t="shared" si="9"/>
        <v>0</v>
      </c>
      <c r="F97" s="295">
        <f t="shared" si="9"/>
        <v>0</v>
      </c>
      <c r="G97" s="295">
        <f t="shared" si="9"/>
        <v>0</v>
      </c>
      <c r="H97" s="295">
        <f t="shared" si="9"/>
        <v>0</v>
      </c>
      <c r="I97" s="296">
        <f t="shared" si="9"/>
        <v>0</v>
      </c>
    </row>
    <row r="98" spans="1:9" hidden="1">
      <c r="A98" s="408"/>
      <c r="B98" s="62"/>
      <c r="C98" s="128">
        <f>IF(AND(Zusatzeingaben!C161&gt;0,Zusatzeingaben!C164=Zusatzeingaben!C161),0,Zusatzeingaben!C124)</f>
        <v>0</v>
      </c>
      <c r="D98" s="128">
        <f>IF(AND(Zusatzeingaben!D161&gt;0,Zusatzeingaben!D164=Zusatzeingaben!D161),0,Zusatzeingaben!D124)</f>
        <v>0</v>
      </c>
      <c r="E98" s="128">
        <f>IF(AND(Zusatzeingaben!E161&gt;0,Zusatzeingaben!E164=Zusatzeingaben!E161),0,Zusatzeingaben!E124)</f>
        <v>0</v>
      </c>
      <c r="F98" s="128">
        <f>IF(AND(Zusatzeingaben!F161&gt;0,Zusatzeingaben!F164=Zusatzeingaben!F161),0,Zusatzeingaben!F124)</f>
        <v>0</v>
      </c>
      <c r="G98" s="128">
        <f>IF(AND(Zusatzeingaben!G161&gt;0,Zusatzeingaben!G164=Zusatzeingaben!G161),0,Zusatzeingaben!G124)</f>
        <v>0</v>
      </c>
      <c r="H98" s="128">
        <f>IF(AND(Zusatzeingaben!H161&gt;0,Zusatzeingaben!H164=Zusatzeingaben!H161),0,Zusatzeingaben!H124)</f>
        <v>0</v>
      </c>
      <c r="I98" s="190">
        <f>IF(AND(Zusatzeingaben!I161&gt;0,Zusatzeingaben!I164=Zusatzeingaben!I161),0,Zusatzeingaben!I124)</f>
        <v>0</v>
      </c>
    </row>
    <row r="99" spans="1:9" hidden="1">
      <c r="A99" s="613"/>
      <c r="B99" s="62"/>
      <c r="C99" s="128">
        <f>IF(AND(Zusatzeingaben!C215&gt;C112,C77&lt;&gt;Zusatzeingaben!C124),C98,0)</f>
        <v>0</v>
      </c>
      <c r="D99" s="128">
        <f>IF(AND(Zusatzeingaben!D215&gt;D112,D77&lt;&gt;Zusatzeingaben!D124),D98,0)</f>
        <v>0</v>
      </c>
      <c r="E99" s="128">
        <f>IF(AND(Zusatzeingaben!E215&gt;E112,E77&lt;&gt;Zusatzeingaben!E124),E98,0)</f>
        <v>0</v>
      </c>
      <c r="F99" s="128">
        <f>IF(AND(Zusatzeingaben!F215&gt;F112,F77&lt;&gt;Zusatzeingaben!F124),F98,0)</f>
        <v>0</v>
      </c>
      <c r="G99" s="128">
        <f>IF(AND(Zusatzeingaben!G215&gt;G112,G77&lt;&gt;Zusatzeingaben!G124),G98,0)</f>
        <v>0</v>
      </c>
      <c r="H99" s="128">
        <f>IF(AND(Zusatzeingaben!H215&gt;H112,H77&lt;&gt;Zusatzeingaben!H124),H98,0)</f>
        <v>0</v>
      </c>
      <c r="I99" s="190">
        <f>IF(AND(Zusatzeingaben!I215&gt;I112,I77&lt;&gt;Zusatzeingaben!I124),I98,0)</f>
        <v>0</v>
      </c>
    </row>
    <row r="100" spans="1:9" hidden="1">
      <c r="A100" s="408"/>
      <c r="B100" s="62"/>
      <c r="C100" s="128">
        <f>IF(C112=0,Zusatzeingaben!C124,0)</f>
        <v>0</v>
      </c>
      <c r="D100" s="128">
        <f>IF(D112=0,Zusatzeingaben!D124,0)</f>
        <v>0</v>
      </c>
      <c r="E100" s="128">
        <f>IF(E112=0,Zusatzeingaben!E124,0)</f>
        <v>0</v>
      </c>
      <c r="F100" s="128">
        <f>IF(F112=0,Zusatzeingaben!F124,0)</f>
        <v>0</v>
      </c>
      <c r="G100" s="128">
        <f>IF(G112=0,Zusatzeingaben!G124,0)</f>
        <v>0</v>
      </c>
      <c r="H100" s="128">
        <f>IF(H112=0,Zusatzeingaben!H124,0)</f>
        <v>0</v>
      </c>
      <c r="I100" s="190">
        <f>IF(I112=0,Zusatzeingaben!I124,0)</f>
        <v>0</v>
      </c>
    </row>
    <row r="101" spans="1:9" hidden="1">
      <c r="A101" s="408"/>
      <c r="B101" s="62"/>
      <c r="C101" s="128">
        <f>IF(C100=Zusatzeingaben!C124,C100,C98)</f>
        <v>0</v>
      </c>
      <c r="D101" s="128">
        <f>IF(D100=Zusatzeingaben!D124,D100,D98)</f>
        <v>0</v>
      </c>
      <c r="E101" s="128">
        <f>IF(E100=Zusatzeingaben!E124,E100,E98)</f>
        <v>0</v>
      </c>
      <c r="F101" s="128">
        <f>IF(F100=Zusatzeingaben!F124,F100,F98)</f>
        <v>0</v>
      </c>
      <c r="G101" s="128">
        <f>IF(G100=Zusatzeingaben!G124,G100,G98)</f>
        <v>0</v>
      </c>
      <c r="H101" s="128">
        <f>IF(H100=Zusatzeingaben!H124,H100,H98)</f>
        <v>0</v>
      </c>
      <c r="I101" s="190">
        <f>IF(I100=Zusatzeingaben!I124,I100,I98)</f>
        <v>0</v>
      </c>
    </row>
    <row r="102" spans="1:9" hidden="1">
      <c r="A102" s="613"/>
      <c r="B102" s="62"/>
      <c r="C102" s="128">
        <f>IF(Zusatzeingaben!C140=0,0,C101)</f>
        <v>0</v>
      </c>
      <c r="D102" s="128">
        <f>IF(Zusatzeingaben!D140=0,0,D101)</f>
        <v>0</v>
      </c>
      <c r="E102" s="128">
        <f>IF(Zusatzeingaben!E140=0,0,E101)</f>
        <v>0</v>
      </c>
      <c r="F102" s="128">
        <f>IF(Zusatzeingaben!F140=0,0,F101)</f>
        <v>0</v>
      </c>
      <c r="G102" s="128">
        <f>IF(Zusatzeingaben!G140=0,0,G101)</f>
        <v>0</v>
      </c>
      <c r="H102" s="128">
        <f>IF(Zusatzeingaben!H140=0,0,H101)</f>
        <v>0</v>
      </c>
      <c r="I102" s="190">
        <f>IF(Zusatzeingaben!I140=0,0,I101)</f>
        <v>0</v>
      </c>
    </row>
    <row r="103" spans="1:9" hidden="1">
      <c r="A103" s="408">
        <f>IF(B103&gt;0,"./. Verpflegungsmehraufwand",0)</f>
        <v>0</v>
      </c>
      <c r="B103" s="284">
        <f>SUM(C103:I103)</f>
        <v>0</v>
      </c>
      <c r="C103" s="614">
        <f t="shared" ref="C103:I103" si="10">IF(AND(C113&gt;0,C54&lt;=400),0,IF(C69=0,0,C102))</f>
        <v>0</v>
      </c>
      <c r="D103" s="614">
        <f t="shared" si="10"/>
        <v>0</v>
      </c>
      <c r="E103" s="614">
        <f t="shared" si="10"/>
        <v>0</v>
      </c>
      <c r="F103" s="614">
        <f t="shared" si="10"/>
        <v>0</v>
      </c>
      <c r="G103" s="614">
        <f t="shared" si="10"/>
        <v>0</v>
      </c>
      <c r="H103" s="614">
        <f t="shared" si="10"/>
        <v>0</v>
      </c>
      <c r="I103" s="654">
        <f t="shared" si="10"/>
        <v>0</v>
      </c>
    </row>
    <row r="104" spans="1:9" hidden="1">
      <c r="A104" s="408"/>
      <c r="B104" s="62"/>
      <c r="C104" s="128">
        <f>IF(AND(Zusatzeingaben!C161&gt;0,Zusatzeingaben!C164=Zusatzeingaben!C161),0,Zusatzeingaben!C149)</f>
        <v>0</v>
      </c>
      <c r="D104" s="128">
        <f>IF(AND(Zusatzeingaben!D161&gt;0,Zusatzeingaben!D164=Zusatzeingaben!D161),0,Zusatzeingaben!D149)</f>
        <v>0</v>
      </c>
      <c r="E104" s="128">
        <f>IF(AND(Zusatzeingaben!E161&gt;0,Zusatzeingaben!E164=Zusatzeingaben!E161),0,Zusatzeingaben!E149)</f>
        <v>0</v>
      </c>
      <c r="F104" s="128">
        <f>IF(AND(Zusatzeingaben!F161&gt;0,Zusatzeingaben!F164=Zusatzeingaben!F161),0,Zusatzeingaben!F149)</f>
        <v>0</v>
      </c>
      <c r="G104" s="128">
        <f>IF(AND(Zusatzeingaben!G161&gt;0,Zusatzeingaben!G164=Zusatzeingaben!G161),0,Zusatzeingaben!G149)</f>
        <v>0</v>
      </c>
      <c r="H104" s="128">
        <f>IF(AND(Zusatzeingaben!H161&gt;0,Zusatzeingaben!H164=Zusatzeingaben!H161),0,Zusatzeingaben!H149)</f>
        <v>0</v>
      </c>
      <c r="I104" s="190">
        <f>IF(AND(Zusatzeingaben!I161&gt;0,Zusatzeingaben!I164=Zusatzeingaben!I161),0,Zusatzeingaben!I149)</f>
        <v>0</v>
      </c>
    </row>
    <row r="105" spans="1:9" hidden="1">
      <c r="A105" s="408"/>
      <c r="B105" s="62"/>
      <c r="C105" s="128">
        <f>IF(C112=0,Zusatzeingaben!C149,0)</f>
        <v>0</v>
      </c>
      <c r="D105" s="128">
        <f>IF(D112=0,Zusatzeingaben!D149,0)</f>
        <v>0</v>
      </c>
      <c r="E105" s="128">
        <f>IF(E112=0,Zusatzeingaben!E149,0)</f>
        <v>0</v>
      </c>
      <c r="F105" s="128">
        <f>IF(F112=0,Zusatzeingaben!F149,0)</f>
        <v>0</v>
      </c>
      <c r="G105" s="128">
        <f>IF(G112=0,Zusatzeingaben!G149,0)</f>
        <v>0</v>
      </c>
      <c r="H105" s="128">
        <f>IF(H112=0,Zusatzeingaben!H149,0)</f>
        <v>0</v>
      </c>
      <c r="I105" s="190">
        <f>IF(I112=0,Zusatzeingaben!I149,0)</f>
        <v>0</v>
      </c>
    </row>
    <row r="106" spans="1:9" hidden="1">
      <c r="A106" s="411"/>
      <c r="B106" s="62"/>
      <c r="C106" s="128">
        <f>IF(C105&gt;0,C105,C104)</f>
        <v>0</v>
      </c>
      <c r="D106" s="128">
        <f t="shared" ref="D106:I106" si="11">IF(D105&gt;0,D105,D104)</f>
        <v>0</v>
      </c>
      <c r="E106" s="128">
        <f t="shared" si="11"/>
        <v>0</v>
      </c>
      <c r="F106" s="128">
        <f t="shared" si="11"/>
        <v>0</v>
      </c>
      <c r="G106" s="128">
        <f t="shared" si="11"/>
        <v>0</v>
      </c>
      <c r="H106" s="128">
        <f t="shared" si="11"/>
        <v>0</v>
      </c>
      <c r="I106" s="190">
        <f t="shared" si="11"/>
        <v>0</v>
      </c>
    </row>
    <row r="107" spans="1:9" hidden="1">
      <c r="A107" s="409">
        <f>IF(B107&gt;0,"./. Werbungskosten bei Erwerbstätigkeit",0)</f>
        <v>0</v>
      </c>
      <c r="B107" s="284">
        <f>SUM(C107:I107)</f>
        <v>0</v>
      </c>
      <c r="C107" s="128">
        <f>IF(AND(C113&gt;0,C54&lt;=400),0,IF(AND(C58&gt;200,Zusatzeingaben!C159&gt;Zusatzeingaben!C157),Zusatzeingaben!C148,IF(AND($A$57="Gewinn aus selbständiger Tätigkeit",C57&gt;0),0,IF(AND(C54&lt;100,C58&lt;200,C68&gt;0),0,C106))))</f>
        <v>0</v>
      </c>
      <c r="D107" s="128">
        <f>IF(AND(D113&gt;0,D54&lt;=400),0,IF(AND(D58&gt;200,Zusatzeingaben!D159&gt;Zusatzeingaben!D157),Zusatzeingaben!D148,IF(AND($A$57="Gewinn aus selbständiger Tätigkeit",D57&gt;0),0,IF(AND(D54&lt;100,D58&lt;200,D68&gt;0),0,D106))))</f>
        <v>0</v>
      </c>
      <c r="E107" s="128">
        <f>IF(AND(E113&gt;0,E54&lt;=400),0,IF(AND(E58&gt;200,Zusatzeingaben!E159&gt;Zusatzeingaben!E157),Zusatzeingaben!E148,IF(AND($A$57="Gewinn aus selbständiger Tätigkeit",E57&gt;0),0,IF(AND(E54&lt;100,E58&lt;200,E68&gt;0),0,E106))))</f>
        <v>0</v>
      </c>
      <c r="F107" s="128">
        <f>IF(AND(F113&gt;0,F54&lt;=400),0,IF(AND(F58&gt;200,Zusatzeingaben!F159&gt;Zusatzeingaben!F157),Zusatzeingaben!F148,IF(AND($A$57="Gewinn aus selbständiger Tätigkeit",F57&gt;0),0,IF(AND(F54&lt;100,F58&lt;200,F68&gt;0),0,F106))))</f>
        <v>0</v>
      </c>
      <c r="G107" s="128">
        <f>IF(AND(G113&gt;0,G54&lt;=400),0,IF(AND(G58&gt;200,Zusatzeingaben!G159&gt;Zusatzeingaben!G157),Zusatzeingaben!G148,IF(AND($A$57="Gewinn aus selbständiger Tätigkeit",G57&gt;0),0,IF(AND(G54&lt;100,G58&lt;200,G68&gt;0),0,G106))))</f>
        <v>0</v>
      </c>
      <c r="H107" s="128">
        <f>IF(AND(H113&gt;0,H54&lt;=400),0,IF(AND(H58&gt;200,Zusatzeingaben!H159&gt;Zusatzeingaben!H157),Zusatzeingaben!H148,IF(AND($A$57="Gewinn aus selbständiger Tätigkeit",H57&gt;0),0,IF(AND(H54&lt;100,H58&lt;200,H68&gt;0),0,H106))))</f>
        <v>0</v>
      </c>
      <c r="I107" s="190">
        <f>IF(AND(I113&gt;0,I54&lt;=400),0,IF(AND(I58&gt;200,Zusatzeingaben!I159&gt;Zusatzeingaben!I157),Zusatzeingaben!I148,IF(AND($A$57="Gewinn aus selbständiger Tätigkeit",I57&gt;0),0,IF(AND(I54&lt;100,I58&lt;200,I68&gt;0),0,I106))))</f>
        <v>0</v>
      </c>
    </row>
    <row r="108" spans="1:9" hidden="1">
      <c r="A108" s="409">
        <f>IF(B108&gt;0,"./. notwendige Ausgaben",0)</f>
        <v>0</v>
      </c>
      <c r="B108" s="284">
        <f>SUM(C108:I108)</f>
        <v>0</v>
      </c>
      <c r="C108" s="128">
        <f>Zusatzeingaben!C218</f>
        <v>0</v>
      </c>
      <c r="D108" s="128">
        <f>Zusatzeingaben!D218</f>
        <v>0</v>
      </c>
      <c r="E108" s="128">
        <f>Zusatzeingaben!E218</f>
        <v>0</v>
      </c>
      <c r="F108" s="128">
        <f>Zusatzeingaben!F218</f>
        <v>0</v>
      </c>
      <c r="G108" s="128">
        <f>Zusatzeingaben!G218</f>
        <v>0</v>
      </c>
      <c r="H108" s="128">
        <f>Zusatzeingaben!H218</f>
        <v>0</v>
      </c>
      <c r="I108" s="190">
        <f>Zusatzeingaben!I218</f>
        <v>0</v>
      </c>
    </row>
    <row r="109" spans="1:9" ht="16.5" hidden="1" customHeight="1">
      <c r="A109" s="411"/>
      <c r="B109" s="62"/>
      <c r="C109" s="62">
        <f>IF(Zusatzeingaben!C161&gt;200,0,Zusatzeingaben!C161)</f>
        <v>0</v>
      </c>
      <c r="D109" s="62">
        <f>IF(Zusatzeingaben!D161&gt;200,0,Zusatzeingaben!D161)</f>
        <v>0</v>
      </c>
      <c r="E109" s="62">
        <f>IF(Zusatzeingaben!E161&gt;200,0,Zusatzeingaben!E161)</f>
        <v>0</v>
      </c>
      <c r="F109" s="62">
        <f>IF(Zusatzeingaben!F161&gt;200,0,Zusatzeingaben!F161)</f>
        <v>0</v>
      </c>
      <c r="G109" s="62">
        <f>IF(Zusatzeingaben!G161&gt;200,0,Zusatzeingaben!G161)</f>
        <v>0</v>
      </c>
      <c r="H109" s="62">
        <f>IF(Zusatzeingaben!H161&gt;200,0,Zusatzeingaben!H161)</f>
        <v>0</v>
      </c>
      <c r="I109" s="110">
        <f>IF(Zusatzeingaben!I161&gt;200,0,Zusatzeingaben!I161)</f>
        <v>0</v>
      </c>
    </row>
    <row r="110" spans="1:9" ht="16.5" hidden="1" customHeight="1">
      <c r="A110" s="411"/>
      <c r="B110" s="62"/>
      <c r="C110" s="62">
        <f>IF(AND(Zusatzeingaben!C131+Zusatzeingaben!C139&gt;400,Zusatzeingaben!C160&gt;100,Zusatzeingaben!C138&gt;0,Zusatzeingaben!C159+100&gt;Zusatzeingaben!C160),Zusatzeingaben!C159+100,IF(OR(Zusatzeingaben!C153&gt;100,Zusatzeingaben!C156&gt;100),0,IF(AND(Zusatzeingaben!C180&gt;0,Zusatzeingaben!C191&gt;100+Zusatzeingaben!C190),0,C109)))</f>
        <v>0</v>
      </c>
      <c r="D110" s="62">
        <f>IF(AND(Zusatzeingaben!D131+Zusatzeingaben!D139&gt;400,Zusatzeingaben!D160&gt;100,Zusatzeingaben!D138&gt;0,Zusatzeingaben!D159+100&gt;Zusatzeingaben!D160),Zusatzeingaben!D159+100,IF(OR(Zusatzeingaben!D153&gt;100,Zusatzeingaben!D156&gt;100),0,IF(AND(Zusatzeingaben!D180&gt;0,Zusatzeingaben!D191&gt;100+Zusatzeingaben!D190),0,D109)))</f>
        <v>0</v>
      </c>
      <c r="E110" s="62">
        <f>IF(AND(Zusatzeingaben!E131+Zusatzeingaben!E139&gt;400,Zusatzeingaben!E160&gt;100,Zusatzeingaben!E138&gt;0,Zusatzeingaben!E159+100&gt;Zusatzeingaben!E160),Zusatzeingaben!E159+100,IF(OR(Zusatzeingaben!E153&gt;100,Zusatzeingaben!E156&gt;100),0,IF(AND(Zusatzeingaben!E180&gt;0,Zusatzeingaben!E191&gt;100+Zusatzeingaben!E190),0,E109)))</f>
        <v>0</v>
      </c>
      <c r="F110" s="62">
        <f>IF(AND(Zusatzeingaben!F131+Zusatzeingaben!F139&gt;400,Zusatzeingaben!F160&gt;100,Zusatzeingaben!F138&gt;0,Zusatzeingaben!F159+100&gt;Zusatzeingaben!F160),Zusatzeingaben!F159+100,IF(OR(Zusatzeingaben!F153&gt;100,Zusatzeingaben!F156&gt;100),0,IF(AND(Zusatzeingaben!F180&gt;0,Zusatzeingaben!F191&gt;100+Zusatzeingaben!F190),0,F109)))</f>
        <v>0</v>
      </c>
      <c r="G110" s="62">
        <f>IF(AND(Zusatzeingaben!G131+Zusatzeingaben!G139&gt;400,Zusatzeingaben!G160&gt;100,Zusatzeingaben!G138&gt;0,Zusatzeingaben!G159+100&gt;Zusatzeingaben!G160),Zusatzeingaben!G159+100,IF(OR(Zusatzeingaben!G153&gt;100,Zusatzeingaben!G156&gt;100),0,IF(AND(Zusatzeingaben!G180&gt;0,Zusatzeingaben!G191&gt;100+Zusatzeingaben!G190),0,G109)))</f>
        <v>0</v>
      </c>
      <c r="H110" s="62">
        <f>IF(AND(Zusatzeingaben!H131+Zusatzeingaben!H139&gt;400,Zusatzeingaben!H160&gt;100,Zusatzeingaben!H138&gt;0,Zusatzeingaben!H159+100&gt;Zusatzeingaben!H160),Zusatzeingaben!H159+100,IF(OR(Zusatzeingaben!H153&gt;100,Zusatzeingaben!H156&gt;100),0,IF(AND(Zusatzeingaben!H180&gt;0,Zusatzeingaben!H191&gt;100+Zusatzeingaben!H190),0,H109)))</f>
        <v>0</v>
      </c>
      <c r="I110" s="110">
        <f>IF(AND(Zusatzeingaben!I131+Zusatzeingaben!I139&gt;400,Zusatzeingaben!I160&gt;100,Zusatzeingaben!I138&gt;0,Zusatzeingaben!I159+100&gt;Zusatzeingaben!I160),Zusatzeingaben!I159+100,IF(OR(Zusatzeingaben!I153&gt;100,Zusatzeingaben!I156&gt;100),0,IF(AND(Zusatzeingaben!I180&gt;0,Zusatzeingaben!I191&gt;100+Zusatzeingaben!I190),0,I109)))</f>
        <v>0</v>
      </c>
    </row>
    <row r="111" spans="1:9" ht="16.5" hidden="1" customHeight="1">
      <c r="A111" s="411"/>
      <c r="B111" s="62"/>
      <c r="C111" s="62">
        <f>IF(OR(Zusatzeingaben!C161=100,Zusatzeingaben!C161=200),Zusatzeingaben!C161,C110)</f>
        <v>0</v>
      </c>
      <c r="D111" s="62">
        <f>IF(OR(Zusatzeingaben!D161=100,Zusatzeingaben!D161=200),Zusatzeingaben!D161,D110)</f>
        <v>0</v>
      </c>
      <c r="E111" s="62">
        <f>IF(OR(Zusatzeingaben!E161=100,Zusatzeingaben!E161=200),Zusatzeingaben!E161,E110)</f>
        <v>0</v>
      </c>
      <c r="F111" s="62">
        <f>IF(OR(Zusatzeingaben!F161=100,Zusatzeingaben!F161=200),Zusatzeingaben!F161,F110)</f>
        <v>0</v>
      </c>
      <c r="G111" s="62">
        <f>IF(OR(Zusatzeingaben!G161=100,Zusatzeingaben!G161=200),Zusatzeingaben!G161,G110)</f>
        <v>0</v>
      </c>
      <c r="H111" s="62">
        <f>IF(OR(Zusatzeingaben!H161=100,Zusatzeingaben!H161=200),Zusatzeingaben!H161,H110)</f>
        <v>0</v>
      </c>
      <c r="I111" s="110">
        <f>IF(OR(Zusatzeingaben!I161=100,Zusatzeingaben!I161=200),Zusatzeingaben!I161,I110)</f>
        <v>0</v>
      </c>
    </row>
    <row r="112" spans="1:9" ht="16.5" hidden="1" customHeight="1">
      <c r="A112" s="408">
        <f>IF(B112&gt;0,"./. Grundfreibetrag Lohn / Ehrenamt",0)</f>
        <v>0</v>
      </c>
      <c r="B112" s="284">
        <f>SUM(C112:I112)</f>
        <v>0</v>
      </c>
      <c r="C112" s="62">
        <f>IF(AND(Zusatzeingaben!C180&gt;0,Zusatzeingaben!C180&lt;Zusatzeingaben!C191),C111,IF(AND(Zusatzeingaben!C180&gt;0,C110=0,Zusatzeingaben!C191&gt;100),0,IF(C109&lt;100,C109,C111)))</f>
        <v>0</v>
      </c>
      <c r="D112" s="62">
        <f>IF(AND(Zusatzeingaben!D180&gt;0,Zusatzeingaben!D180&lt;Zusatzeingaben!D191),D111,IF(AND(Zusatzeingaben!D180&gt;0,D110=0,Zusatzeingaben!D191&gt;100),0,IF(D109&lt;100,D109,D111)))</f>
        <v>0</v>
      </c>
      <c r="E112" s="62">
        <f>IF(AND(Zusatzeingaben!E180&gt;0,Zusatzeingaben!E180&lt;Zusatzeingaben!E191),E111,IF(AND(Zusatzeingaben!E180&gt;0,E110=0,Zusatzeingaben!E191&gt;100),0,IF(E109&lt;100,E109,E111)))</f>
        <v>0</v>
      </c>
      <c r="F112" s="62">
        <f>IF(AND(Zusatzeingaben!F180&gt;0,Zusatzeingaben!F180&lt;Zusatzeingaben!F191),F111,IF(AND(Zusatzeingaben!F180&gt;0,F110=0,Zusatzeingaben!F191&gt;100),0,IF(F109&lt;100,F109,F111)))</f>
        <v>0</v>
      </c>
      <c r="G112" s="62">
        <f>IF(AND(Zusatzeingaben!G180&gt;0,Zusatzeingaben!G180&lt;Zusatzeingaben!G191),G111,IF(AND(Zusatzeingaben!G180&gt;0,G110=0,Zusatzeingaben!G191&gt;100),0,IF(G109&lt;100,G109,G111)))</f>
        <v>0</v>
      </c>
      <c r="H112" s="62">
        <f>IF(AND(Zusatzeingaben!H180&gt;0,Zusatzeingaben!H180&lt;Zusatzeingaben!H191),H111,IF(AND(Zusatzeingaben!H180&gt;0,H110=0,Zusatzeingaben!H191&gt;100),0,IF(H109&lt;100,H109,H111)))</f>
        <v>0</v>
      </c>
      <c r="I112" s="110">
        <f>IF(AND(Zusatzeingaben!I180&gt;0,Zusatzeingaben!I180&lt;Zusatzeingaben!I191),I111,IF(AND(Zusatzeingaben!I180&gt;0,I110=0,Zusatzeingaben!I191&gt;100),0,IF(I109&lt;100,I109,I111)))</f>
        <v>0</v>
      </c>
    </row>
    <row r="113" spans="1:9" ht="16.5" hidden="1" customHeight="1">
      <c r="A113" s="408">
        <f>IF(B113&gt;0,"./. Freibetrag Freiwilligendienste",0)</f>
        <v>0</v>
      </c>
      <c r="B113" s="284">
        <f t="shared" ref="B113:B119" si="12">SUM(C113:I113)</f>
        <v>0</v>
      </c>
      <c r="C113" s="62">
        <f>Zusatzeingaben!C173</f>
        <v>0</v>
      </c>
      <c r="D113" s="62">
        <f>Zusatzeingaben!D173</f>
        <v>0</v>
      </c>
      <c r="E113" s="62">
        <f>Zusatzeingaben!E173</f>
        <v>0</v>
      </c>
      <c r="F113" s="62">
        <f>Zusatzeingaben!F173</f>
        <v>0</v>
      </c>
      <c r="G113" s="62">
        <f>Zusatzeingaben!G173</f>
        <v>0</v>
      </c>
      <c r="H113" s="62">
        <f>Zusatzeingaben!H173</f>
        <v>0</v>
      </c>
      <c r="I113" s="110">
        <f>Zusatzeingaben!I173</f>
        <v>0</v>
      </c>
    </row>
    <row r="114" spans="1:9" s="212" customFormat="1" ht="16.5" hidden="1" customHeight="1">
      <c r="A114" s="409"/>
      <c r="B114" s="62"/>
      <c r="C114" s="62">
        <f>IF(AND(Zusatzeingaben!C197&gt;0,C58=0),C54*30%,IF(AND(Zusatzeingaben!C34="nein",C58=0),C54*30%,0))</f>
        <v>0</v>
      </c>
      <c r="D114" s="62">
        <f>IF(AND(Zusatzeingaben!D197&gt;0,D58=0),D54*30%,IF(AND(Zusatzeingaben!D34="nein",D58=0),D54*30%,0))</f>
        <v>0</v>
      </c>
      <c r="E114" s="62">
        <f>IF(AND(Zusatzeingaben!E18&gt;14,Zusatzeingaben!E34="nein",E58=0),E54*30%,0)</f>
        <v>0</v>
      </c>
      <c r="F114" s="62">
        <f>IF(AND(Zusatzeingaben!F18&gt;14,Zusatzeingaben!F34="nein",F58=0),F54*30%,0)</f>
        <v>0</v>
      </c>
      <c r="G114" s="62">
        <f>IF(AND(Zusatzeingaben!G18&gt;14,Zusatzeingaben!G34="nein",G58=0),G54*30%,0)</f>
        <v>0</v>
      </c>
      <c r="H114" s="62">
        <f>IF(AND(Zusatzeingaben!H18&gt;14,Zusatzeingaben!H34="nein",H58=0),H54*30%,0)</f>
        <v>0</v>
      </c>
      <c r="I114" s="110">
        <f>IF(AND(Zusatzeingaben!I18&gt;14,Zusatzeingaben!I34="nein",I58=0),I54*30%,0)</f>
        <v>0</v>
      </c>
    </row>
    <row r="115" spans="1:9" s="212" customFormat="1" ht="16.5" hidden="1" customHeight="1">
      <c r="A115" s="409"/>
      <c r="B115" s="62"/>
      <c r="C115" s="62">
        <f>IF(AND(Zusatzeingaben!C197&gt;0,C114=0,C58&gt;0),0,IF(AND(Zusatzeingaben!C34="nein",C114=0,C58&gt;0),0,IF(C114&gt;0,MIN(C114,Zusatzeingaben!$C$233*50%),D219)))</f>
        <v>0</v>
      </c>
      <c r="D115" s="62">
        <f>IF(AND(Zusatzeingaben!D197&gt;0,D114=0,D58&gt;0),0,IF(AND(Zusatzeingaben!D34="nein",D114=0,D58&gt;0),0,IF(D114&gt;0,MIN(D114,Zusatzeingaben!$C$233*50%),D224)))</f>
        <v>0</v>
      </c>
      <c r="E115" s="62">
        <f>IF(AND(Zusatzeingaben!E18&gt;14,Zusatzeingaben!E34="nein",E114=0,E58&gt;0),0,IF(Zusatzeingaben!E18&lt;15,0,IF(E114&gt;0,MIN(E114,Zusatzeingaben!$C$233*50%),D229)))</f>
        <v>0</v>
      </c>
      <c r="F115" s="62">
        <f>IF(AND(Zusatzeingaben!F18&gt;14,Zusatzeingaben!F34="nein",F114=0,F58&gt;0),0,IF(Zusatzeingaben!F18&lt;15,0,IF(F114&gt;0,MIN(F114,Zusatzeingaben!$C$233*50%),D234)))</f>
        <v>0</v>
      </c>
      <c r="G115" s="62">
        <f>IF(AND(Zusatzeingaben!G18&gt;14,Zusatzeingaben!G34="nein",G114=0,G58&gt;0),0,IF(Zusatzeingaben!G18&lt;15,0,IF(G114&gt;0,MIN(G114,Zusatzeingaben!$C$233*50%),D239)))</f>
        <v>0</v>
      </c>
      <c r="H115" s="62">
        <f>IF(AND(Zusatzeingaben!H18&gt;14,Zusatzeingaben!H34="nein",H114=0,H58&gt;0),0,IF(Zusatzeingaben!H18&lt;15,0,IF(H114&gt;0,MIN(H114,Zusatzeingaben!$C$233*50%),D244)))</f>
        <v>0</v>
      </c>
      <c r="I115" s="110">
        <f>IF(AND(Zusatzeingaben!I18&gt;14,Zusatzeingaben!I34="nein",I114=0,I58&gt;0),0,IF(Zusatzeingaben!I18&lt;15,0,IF(I114&gt;0,MIN(I114,Zusatzeingaben!$C$233*50%),D249)))</f>
        <v>0</v>
      </c>
    </row>
    <row r="116" spans="1:9" s="212" customFormat="1" ht="16.5" hidden="1" customHeight="1">
      <c r="A116" s="409">
        <f>IF(B116&gt;0,"./. Freibetrag bei Erwerbstätigkeit",0)</f>
        <v>0</v>
      </c>
      <c r="B116" s="284">
        <f t="shared" si="12"/>
        <v>0</v>
      </c>
      <c r="C116" s="62">
        <f t="shared" ref="C116:I116" si="13">IF(C54+C58-C112=0,0,IF(C54+C58-C112-C115&lt;0,C54+C58-C112,C115))</f>
        <v>0</v>
      </c>
      <c r="D116" s="62">
        <f t="shared" si="13"/>
        <v>0</v>
      </c>
      <c r="E116" s="62">
        <f t="shared" si="13"/>
        <v>0</v>
      </c>
      <c r="F116" s="62">
        <f t="shared" si="13"/>
        <v>0</v>
      </c>
      <c r="G116" s="62">
        <f t="shared" si="13"/>
        <v>0</v>
      </c>
      <c r="H116" s="62">
        <f t="shared" si="13"/>
        <v>0</v>
      </c>
      <c r="I116" s="110">
        <f t="shared" si="13"/>
        <v>0</v>
      </c>
    </row>
    <row r="117" spans="1:9" s="212" customFormat="1" ht="16.5" hidden="1" customHeight="1">
      <c r="A117" s="409">
        <f>IF(B117&gt;0,"./. Unterhaltsverpflichtungen",0)</f>
        <v>0</v>
      </c>
      <c r="B117" s="284">
        <f t="shared" si="12"/>
        <v>0</v>
      </c>
      <c r="C117" s="62">
        <f>IF(C69=0,0,Zusatzeingaben!C219)</f>
        <v>0</v>
      </c>
      <c r="D117" s="62">
        <f>IF(D69=0,0,Zusatzeingaben!D219)</f>
        <v>0</v>
      </c>
      <c r="E117" s="62">
        <f>IF(E69=0,0,Zusatzeingaben!E219)</f>
        <v>0</v>
      </c>
      <c r="F117" s="62">
        <f>IF(F69=0,0,Zusatzeingaben!F219)</f>
        <v>0</v>
      </c>
      <c r="G117" s="62">
        <f>IF(G69=0,0,Zusatzeingaben!G219)</f>
        <v>0</v>
      </c>
      <c r="H117" s="62">
        <f>IF(H69=0,0,Zusatzeingaben!H219)</f>
        <v>0</v>
      </c>
      <c r="I117" s="110">
        <f>IF(I69=0,0,Zusatzeingaben!I219)</f>
        <v>0</v>
      </c>
    </row>
    <row r="118" spans="1:9" s="212" customFormat="1" ht="16.5" hidden="1" customHeight="1">
      <c r="A118" s="415">
        <f>IF(B118&gt;0,"./. Elterngeldfreibetrag",0)</f>
        <v>0</v>
      </c>
      <c r="B118" s="284">
        <f t="shared" si="12"/>
        <v>0</v>
      </c>
      <c r="C118" s="62">
        <f>Zusatzeingaben!C179</f>
        <v>0</v>
      </c>
      <c r="D118" s="62">
        <f>Zusatzeingaben!D179</f>
        <v>0</v>
      </c>
      <c r="E118" s="62"/>
      <c r="F118" s="62"/>
      <c r="G118" s="298"/>
      <c r="H118" s="298"/>
      <c r="I118" s="299"/>
    </row>
    <row r="119" spans="1:9" s="212" customFormat="1" ht="18" hidden="1" customHeight="1" thickBot="1">
      <c r="A119" s="836">
        <f>IF(AND(C119&gt;0,C119=Zusatzeingaben!C189),"./. Grundfreibetrag Ausbildungsförderung",IF(AND(D119&gt;0,D119=Zusatzeingaben!D189),"./. Grundfreibetrag Ausbildungsförderung",IF(AND(E119&gt;0,E119=Zusatzeingaben!E189),"./. Grundfreibetrag Ausbildungsförderung",IF(AND(F119&gt;0,F119=Zusatzeingaben!F189),"./. Grundfreibetrag Ausbildungsförderung",IF(AND(G119&gt;0,G119=Zusatzeingaben!G189),"./. Grundfreibetrag Ausbildungsförderung",IF(AND(H119&gt;0,H119=Zusatzeingaben!H189),"./. Grundfreibetrag Ausbildungsförderung",IF(AND(I119&gt;0,I119=Zusatzeingaben!I189),"./. Grundfreibetrag Ausbildungsförderung",IF(AND(C119&gt;0,C119=Zusatzeingaben!C190),"./. Ausgaben für die Ausbildung",IF(AND(D119&gt;0,D119=Zusatzeingaben!D190),"./. Ausgaben für die Ausbildung",IF(AND(E119&gt;0,E119=Zusatzeingaben!E190),"./. Ausgaben für die Ausbildung",IF(AND(F119&gt;0,F119=Zusatzeingaben!F190),"./. Ausgaben für die Ausbildung",IF(AND(G119&gt;0,G119=Zusatzeingaben!G190),"./. Ausgaben für die Ausbildung",IF(AND(H119&gt;0,H119=Zusatzeingaben!H190),"./. Ausgaben für die Ausbildung",IF(AND(I119&gt;0,I119=Zusatzeingaben!I190),"./. Ausgaben für die Ausbildung",0))))))))))))))</f>
        <v>0</v>
      </c>
      <c r="B119" s="285">
        <f t="shared" si="12"/>
        <v>0</v>
      </c>
      <c r="C119" s="286">
        <f>IF(Zusatzeingaben!C191&gt;100,Zusatzeingaben!C190,IF(AND(Zusatzeingaben!C190&gt;0,Zusatzeingaben!C190&gt;Zusatzeingaben!C189),Zusatzeingaben!C190,Zusatzeingaben!C189))</f>
        <v>0</v>
      </c>
      <c r="D119" s="286">
        <f>IF(Zusatzeingaben!D191&gt;100,Zusatzeingaben!D190,IF(AND(Zusatzeingaben!D190&gt;0,Zusatzeingaben!D190&gt;Zusatzeingaben!D189),Zusatzeingaben!D190,Zusatzeingaben!D189))</f>
        <v>0</v>
      </c>
      <c r="E119" s="286">
        <f>IF(Zusatzeingaben!E191&gt;100,Zusatzeingaben!E190,IF(AND(Zusatzeingaben!E190&gt;0,Zusatzeingaben!E190&gt;Zusatzeingaben!E189),Zusatzeingaben!E190,Zusatzeingaben!E189))</f>
        <v>0</v>
      </c>
      <c r="F119" s="286">
        <f>IF(Zusatzeingaben!F191&gt;100,Zusatzeingaben!F190,IF(AND(Zusatzeingaben!F190&gt;0,Zusatzeingaben!F190&gt;Zusatzeingaben!F189),Zusatzeingaben!F190,Zusatzeingaben!F189))</f>
        <v>0</v>
      </c>
      <c r="G119" s="286">
        <f>IF(Zusatzeingaben!G191&gt;100,Zusatzeingaben!G190,IF(AND(Zusatzeingaben!G190&gt;0,Zusatzeingaben!G190&gt;Zusatzeingaben!G189),Zusatzeingaben!G190,Zusatzeingaben!G189))</f>
        <v>0</v>
      </c>
      <c r="H119" s="286">
        <f>IF(Zusatzeingaben!H191&gt;100,Zusatzeingaben!H190,IF(AND(Zusatzeingaben!H190&gt;0,Zusatzeingaben!H190&gt;Zusatzeingaben!H189),Zusatzeingaben!H190,Zusatzeingaben!H189))</f>
        <v>0</v>
      </c>
      <c r="I119" s="287">
        <f>IF(Zusatzeingaben!I191&gt;100,Zusatzeingaben!I190,IF(AND(Zusatzeingaben!I190&gt;0,Zusatzeingaben!I190&gt;Zusatzeingaben!I189),Zusatzeingaben!I190,Zusatzeingaben!I189))</f>
        <v>0</v>
      </c>
    </row>
    <row r="120" spans="1:9" s="212" customFormat="1" ht="18" hidden="1" customHeight="1" thickTop="1">
      <c r="A120" s="250"/>
      <c r="B120" s="137">
        <f>SUM(C120:I120)</f>
        <v>0</v>
      </c>
      <c r="C120" s="612">
        <f t="shared" ref="C120:I120" si="14">C69-C75-C81-C86-C91-C97-C103-C107-C108-C112-C113-C116-C117-C118-C119</f>
        <v>0</v>
      </c>
      <c r="D120" s="612">
        <f t="shared" si="14"/>
        <v>0</v>
      </c>
      <c r="E120" s="612">
        <f t="shared" si="14"/>
        <v>0</v>
      </c>
      <c r="F120" s="612">
        <f t="shared" si="14"/>
        <v>0</v>
      </c>
      <c r="G120" s="612">
        <f t="shared" si="14"/>
        <v>0</v>
      </c>
      <c r="H120" s="612">
        <f t="shared" si="14"/>
        <v>0</v>
      </c>
      <c r="I120" s="717">
        <f t="shared" si="14"/>
        <v>0</v>
      </c>
    </row>
    <row r="121" spans="1:9" s="212" customFormat="1" ht="21" hidden="1" customHeight="1" thickBot="1">
      <c r="A121" s="344" t="s">
        <v>67</v>
      </c>
      <c r="B121" s="280">
        <f>SUM(C121:I121)</f>
        <v>0</v>
      </c>
      <c r="C121" s="280">
        <f>IF(C120&lt;0,0,C120)</f>
        <v>0</v>
      </c>
      <c r="D121" s="280">
        <f t="shared" ref="D121:I121" si="15">IF(D120&lt;0,0,D120)</f>
        <v>0</v>
      </c>
      <c r="E121" s="280">
        <f t="shared" si="15"/>
        <v>0</v>
      </c>
      <c r="F121" s="280">
        <f t="shared" si="15"/>
        <v>0</v>
      </c>
      <c r="G121" s="280">
        <f t="shared" si="15"/>
        <v>0</v>
      </c>
      <c r="H121" s="280">
        <f t="shared" si="15"/>
        <v>0</v>
      </c>
      <c r="I121" s="281">
        <f t="shared" si="15"/>
        <v>0</v>
      </c>
    </row>
    <row r="122" spans="1:9" s="212" customFormat="1" ht="20.100000000000001" hidden="1" customHeight="1"/>
    <row r="123" spans="1:9" ht="9.75" hidden="1" customHeight="1" thickBot="1"/>
    <row r="124" spans="1:9" s="212" customFormat="1" ht="21.75" hidden="1" customHeight="1">
      <c r="A124" s="221"/>
      <c r="B124" s="345" t="s">
        <v>357</v>
      </c>
      <c r="C124" s="222"/>
      <c r="D124" s="222"/>
      <c r="E124" s="222"/>
      <c r="F124" s="222"/>
      <c r="G124" s="222"/>
      <c r="H124" s="222"/>
      <c r="I124" s="223"/>
    </row>
    <row r="125" spans="1:9" s="212" customFormat="1" ht="18.75" hidden="1" customHeight="1">
      <c r="A125" s="224"/>
      <c r="B125" s="341" t="s">
        <v>1</v>
      </c>
      <c r="C125" s="341" t="str">
        <f>Zusatzeingaben!C4</f>
        <v>Antragsteller</v>
      </c>
      <c r="D125" s="341" t="str">
        <f>Zusatzeingaben!D4</f>
        <v>Partner(in)</v>
      </c>
      <c r="E125" s="341" t="str">
        <f>Zusatzeingaben!E4</f>
        <v>Kind 1</v>
      </c>
      <c r="F125" s="341" t="s">
        <v>8</v>
      </c>
      <c r="G125" s="341" t="s">
        <v>9</v>
      </c>
      <c r="H125" s="341" t="s">
        <v>10</v>
      </c>
      <c r="I125" s="342" t="s">
        <v>34</v>
      </c>
    </row>
    <row r="126" spans="1:9" s="212" customFormat="1" ht="17.25" hidden="1" customHeight="1">
      <c r="A126" s="230" t="s">
        <v>0</v>
      </c>
      <c r="B126" s="284">
        <f>SUM(C126:I126)</f>
        <v>416</v>
      </c>
      <c r="C126" s="295">
        <f t="shared" ref="C126:I126" si="16">C50</f>
        <v>416</v>
      </c>
      <c r="D126" s="295">
        <f t="shared" si="16"/>
        <v>0</v>
      </c>
      <c r="E126" s="295">
        <f t="shared" si="16"/>
        <v>0</v>
      </c>
      <c r="F126" s="295">
        <f t="shared" si="16"/>
        <v>0</v>
      </c>
      <c r="G126" s="295">
        <f t="shared" si="16"/>
        <v>0</v>
      </c>
      <c r="H126" s="295">
        <f t="shared" si="16"/>
        <v>0</v>
      </c>
      <c r="I126" s="296">
        <f t="shared" si="16"/>
        <v>0</v>
      </c>
    </row>
    <row r="127" spans="1:9" s="212" customFormat="1" ht="19.5" hidden="1" customHeight="1" thickBot="1">
      <c r="A127" s="245">
        <f>IF(B127&gt;0,"./. Einkommen Kinder",0)</f>
        <v>0</v>
      </c>
      <c r="B127" s="433">
        <f>SUM(C127:I127)</f>
        <v>0</v>
      </c>
      <c r="C127" s="311"/>
      <c r="D127" s="311"/>
      <c r="E127" s="312">
        <f>E121</f>
        <v>0</v>
      </c>
      <c r="F127" s="312">
        <f>F121</f>
        <v>0</v>
      </c>
      <c r="G127" s="312">
        <f>G121</f>
        <v>0</v>
      </c>
      <c r="H127" s="312">
        <f>H121</f>
        <v>0</v>
      </c>
      <c r="I127" s="313">
        <f>I121</f>
        <v>0</v>
      </c>
    </row>
    <row r="128" spans="1:9" s="212" customFormat="1" ht="17.25" hidden="1" customHeight="1" thickTop="1">
      <c r="A128" s="246"/>
      <c r="B128" s="314"/>
      <c r="C128" s="314"/>
      <c r="D128" s="314"/>
      <c r="E128" s="128">
        <f>E126-E127</f>
        <v>0</v>
      </c>
      <c r="F128" s="128">
        <f>F126-F127</f>
        <v>0</v>
      </c>
      <c r="G128" s="128">
        <f>G126-G127</f>
        <v>0</v>
      </c>
      <c r="H128" s="128">
        <f>H126-H127</f>
        <v>0</v>
      </c>
      <c r="I128" s="190">
        <f>I126-I127</f>
        <v>0</v>
      </c>
    </row>
    <row r="129" spans="1:11" ht="17.25" hidden="1" customHeight="1">
      <c r="A129" s="243"/>
      <c r="B129" s="315"/>
      <c r="C129" s="316"/>
      <c r="D129" s="316"/>
      <c r="E129" s="316">
        <f>IF(E128&lt;0,0,E128)</f>
        <v>0</v>
      </c>
      <c r="F129" s="316">
        <f>IF(F128&lt;0,0,F128)</f>
        <v>0</v>
      </c>
      <c r="G129" s="316">
        <f>IF(G128&lt;0,0,G128)</f>
        <v>0</v>
      </c>
      <c r="H129" s="316">
        <f>IF(H128&lt;0,0,H128)</f>
        <v>0</v>
      </c>
      <c r="I129" s="317">
        <f>IF(I128&lt;0,0,I128)</f>
        <v>0</v>
      </c>
    </row>
    <row r="130" spans="1:11" ht="19.5" hidden="1" customHeight="1">
      <c r="A130" s="230" t="s">
        <v>36</v>
      </c>
      <c r="B130" s="284">
        <f>SUM(C130:I130)</f>
        <v>416</v>
      </c>
      <c r="C130" s="295">
        <f>C126</f>
        <v>416</v>
      </c>
      <c r="D130" s="295">
        <f>D126</f>
        <v>0</v>
      </c>
      <c r="E130" s="295">
        <f>E129</f>
        <v>0</v>
      </c>
      <c r="F130" s="295">
        <f>F129</f>
        <v>0</v>
      </c>
      <c r="G130" s="295">
        <f>G129</f>
        <v>0</v>
      </c>
      <c r="H130" s="295">
        <f>H129</f>
        <v>0</v>
      </c>
      <c r="I130" s="296">
        <f>I129</f>
        <v>0</v>
      </c>
      <c r="J130" s="1107">
        <f>COUNTIF(E130:I130,"&gt;0")</f>
        <v>0</v>
      </c>
      <c r="K130" s="439"/>
    </row>
    <row r="131" spans="1:11" ht="18" hidden="1" customHeight="1">
      <c r="A131" s="230"/>
      <c r="B131" s="284">
        <f>SUM(C131:I131)</f>
        <v>416</v>
      </c>
      <c r="C131" s="295">
        <f>IF(C10="ja",C130,0)</f>
        <v>416</v>
      </c>
      <c r="D131" s="295">
        <f>IF(D10="ja",D130,0)</f>
        <v>0</v>
      </c>
      <c r="E131" s="295">
        <f>IF(AND(Zusatzeingaben!E37=0,E10="ja"),E130,0)</f>
        <v>0</v>
      </c>
      <c r="F131" s="295">
        <f>IF(F10="ja",F130,0)</f>
        <v>0</v>
      </c>
      <c r="G131" s="295">
        <f>IF(G10="ja",G130,0)</f>
        <v>0</v>
      </c>
      <c r="H131" s="295">
        <f>IF(H10="ja",H130,0)</f>
        <v>0</v>
      </c>
      <c r="I131" s="296">
        <f>IF(I10="ja",I130,0)</f>
        <v>0</v>
      </c>
    </row>
    <row r="132" spans="1:11" ht="17.25" hidden="1" customHeight="1">
      <c r="A132" s="247" t="s">
        <v>37</v>
      </c>
      <c r="B132" s="430">
        <f>SUM(C132:I132)</f>
        <v>1</v>
      </c>
      <c r="C132" s="318">
        <f>IF(AND(B131&gt;0,C10="ja"),C131/B131,0)</f>
        <v>1</v>
      </c>
      <c r="D132" s="318">
        <f t="shared" ref="D132:I132" si="17">IF(AND($B$131&gt;0,D11&gt;0,D10="ja"),D131/$B$131,0)</f>
        <v>0</v>
      </c>
      <c r="E132" s="318">
        <f t="shared" si="17"/>
        <v>0</v>
      </c>
      <c r="F132" s="318">
        <f t="shared" si="17"/>
        <v>0</v>
      </c>
      <c r="G132" s="318">
        <f t="shared" si="17"/>
        <v>0</v>
      </c>
      <c r="H132" s="318">
        <f t="shared" si="17"/>
        <v>0</v>
      </c>
      <c r="I132" s="319">
        <f t="shared" si="17"/>
        <v>0</v>
      </c>
    </row>
    <row r="133" spans="1:11" ht="19.5" hidden="1" customHeight="1">
      <c r="A133" s="244"/>
      <c r="B133" s="284"/>
      <c r="C133" s="318"/>
      <c r="D133" s="318"/>
      <c r="E133" s="62">
        <f>IF(E128&lt;0,E128,0)</f>
        <v>0</v>
      </c>
      <c r="F133" s="62">
        <f>IF(F128&lt;0,F128,0)</f>
        <v>0</v>
      </c>
      <c r="G133" s="62">
        <f>IF(G128&lt;0,G128,0)</f>
        <v>0</v>
      </c>
      <c r="H133" s="62">
        <f>IF(H128&lt;0,H128,0)</f>
        <v>0</v>
      </c>
      <c r="I133" s="110">
        <f>IF(I128&lt;0,I128,0)</f>
        <v>0</v>
      </c>
    </row>
    <row r="134" spans="1:11" hidden="1">
      <c r="A134" s="248"/>
      <c r="B134" s="320"/>
      <c r="C134" s="137"/>
      <c r="D134" s="137"/>
      <c r="E134" s="137">
        <f>IF(E133&lt;-E62,-E62,E133)</f>
        <v>0</v>
      </c>
      <c r="F134" s="137">
        <f>IF(F133&lt;-F62,-F62,F133)</f>
        <v>0</v>
      </c>
      <c r="G134" s="137">
        <f>IF(G133&lt;-G62,-G62,G133)</f>
        <v>0</v>
      </c>
      <c r="H134" s="137">
        <f>IF(H133&lt;-H62,-H62,H133)</f>
        <v>0</v>
      </c>
      <c r="I134" s="175">
        <f>IF(I133&lt;-I62,-I62,I133)</f>
        <v>0</v>
      </c>
    </row>
    <row r="135" spans="1:11" ht="19.5" hidden="1" customHeight="1">
      <c r="A135" s="248"/>
      <c r="B135" s="320"/>
      <c r="C135" s="137"/>
      <c r="D135" s="137"/>
      <c r="E135" s="137">
        <f>-E134*1</f>
        <v>0</v>
      </c>
      <c r="F135" s="137">
        <f>-F134*1</f>
        <v>0</v>
      </c>
      <c r="G135" s="137">
        <f>-G134*1</f>
        <v>0</v>
      </c>
      <c r="H135" s="137">
        <f>-H134*1</f>
        <v>0</v>
      </c>
      <c r="I135" s="175">
        <f>-I134*1</f>
        <v>0</v>
      </c>
    </row>
    <row r="136" spans="1:11" ht="18" hidden="1" customHeight="1">
      <c r="A136" s="249">
        <f>IF(C136&gt;0,"übertragbares Kindergeld",0)</f>
        <v>0</v>
      </c>
      <c r="B136" s="321"/>
      <c r="C136" s="322">
        <f>SUM(E135:I135)</f>
        <v>0</v>
      </c>
      <c r="D136" s="323"/>
      <c r="E136" s="323"/>
      <c r="F136" s="323"/>
      <c r="G136" s="323"/>
      <c r="H136" s="323"/>
      <c r="I136" s="324"/>
    </row>
    <row r="137" spans="1:11" ht="19.5" hidden="1" customHeight="1">
      <c r="A137" s="249"/>
      <c r="B137" s="314"/>
      <c r="C137" s="322">
        <f>IF(AND(C121=0,C136&gt;0),30+Zusatzeingaben!C204+Zusatzeingaben!C205+Zusatzeingaben!C213,0)</f>
        <v>0</v>
      </c>
      <c r="D137" s="322">
        <f>IF(AND(D121=0,D136&gt;0),30+Zusatzeingaben!D204+Zusatzeingaben!D205+Zusatzeingaben!D213,0)</f>
        <v>0</v>
      </c>
      <c r="E137" s="322">
        <f>IF(AND(E121=0,E136&gt;0),30+Zusatzeingaben!E204+Zusatzeingaben!E205+Zusatzeingaben!E213,0)</f>
        <v>0</v>
      </c>
      <c r="F137" s="322">
        <f>IF(AND(F121=0,F136&gt;0),30+Zusatzeingaben!F204+Zusatzeingaben!F205+Zusatzeingaben!F213,0)</f>
        <v>0</v>
      </c>
      <c r="G137" s="322">
        <f>IF(AND(G121=0,G136&gt;0),30+Zusatzeingaben!G204+Zusatzeingaben!G205+Zusatzeingaben!G213,0)</f>
        <v>0</v>
      </c>
      <c r="H137" s="322">
        <f>IF(AND(H121=0,H136&gt;0),30+Zusatzeingaben!H204+Zusatzeingaben!H205+Zusatzeingaben!H213,0)</f>
        <v>0</v>
      </c>
      <c r="I137" s="974">
        <f>IF(AND(I121=0,I136&gt;0),30+Zusatzeingaben!I204+Zusatzeingaben!I205+Zusatzeingaben!I213,0)</f>
        <v>0</v>
      </c>
    </row>
    <row r="138" spans="1:11" ht="19.5" hidden="1" customHeight="1">
      <c r="A138" s="249"/>
      <c r="B138" s="314"/>
      <c r="C138" s="322">
        <f>C136-C137</f>
        <v>0</v>
      </c>
      <c r="D138" s="323"/>
      <c r="E138" s="323"/>
      <c r="F138" s="323"/>
      <c r="G138" s="323"/>
      <c r="H138" s="323"/>
      <c r="I138" s="324"/>
    </row>
    <row r="139" spans="1:11" ht="19.5" hidden="1" customHeight="1">
      <c r="A139" s="249"/>
      <c r="B139" s="314"/>
      <c r="C139" s="322">
        <f>IF(C138&lt;0,0,C138)</f>
        <v>0</v>
      </c>
      <c r="D139" s="323"/>
      <c r="E139" s="323"/>
      <c r="F139" s="323"/>
      <c r="G139" s="323"/>
      <c r="H139" s="323"/>
      <c r="I139" s="324"/>
    </row>
    <row r="140" spans="1:11" ht="17.25" hidden="1" customHeight="1">
      <c r="A140" s="247" t="s">
        <v>22</v>
      </c>
      <c r="B140" s="975">
        <f>C140+D140</f>
        <v>0</v>
      </c>
      <c r="C140" s="62">
        <f>C121+C139</f>
        <v>0</v>
      </c>
      <c r="D140" s="62">
        <f>D121</f>
        <v>0</v>
      </c>
      <c r="E140" s="325"/>
      <c r="F140" s="325"/>
      <c r="G140" s="325"/>
      <c r="H140" s="325"/>
      <c r="I140" s="326"/>
    </row>
    <row r="141" spans="1:11" hidden="1">
      <c r="A141" s="250"/>
      <c r="B141" s="327"/>
      <c r="C141" s="137">
        <f>C126-C140</f>
        <v>416</v>
      </c>
      <c r="D141" s="137">
        <f>D126-D140</f>
        <v>0</v>
      </c>
      <c r="E141" s="327"/>
      <c r="F141" s="327"/>
      <c r="G141" s="327"/>
      <c r="H141" s="327"/>
      <c r="I141" s="328"/>
    </row>
    <row r="142" spans="1:11" hidden="1">
      <c r="A142" s="250"/>
      <c r="B142" s="327"/>
      <c r="C142" s="137">
        <f>-1*C141</f>
        <v>-416</v>
      </c>
      <c r="D142" s="137">
        <f>-1*D141</f>
        <v>0</v>
      </c>
      <c r="E142" s="327"/>
      <c r="F142" s="327"/>
      <c r="G142" s="327"/>
      <c r="H142" s="327"/>
      <c r="I142" s="328"/>
    </row>
    <row r="143" spans="1:11" hidden="1">
      <c r="A143" s="250"/>
      <c r="B143" s="327"/>
      <c r="C143" s="137">
        <f>IF(C142&gt;0,C142,0)</f>
        <v>0</v>
      </c>
      <c r="D143" s="137">
        <f>IF(D142&gt;0,D142,0)</f>
        <v>0</v>
      </c>
      <c r="E143" s="137"/>
      <c r="F143" s="137"/>
      <c r="G143" s="137"/>
      <c r="H143" s="137"/>
      <c r="I143" s="175"/>
    </row>
    <row r="144" spans="1:11" hidden="1">
      <c r="A144" s="247">
        <f>IF(B144&gt;0,"./. nicht verteilbares Einkommen",0)</f>
        <v>0</v>
      </c>
      <c r="B144" s="284">
        <f>C144+D144</f>
        <v>0</v>
      </c>
      <c r="C144" s="62">
        <f>IF(AND($B$7&gt;2,D132&gt;0,C132=0,SUM(D130:$I$130)&lt;D140),C140,IF(OR(C10="nur Mehrbedarf",C10="nein"),C140-C145,0))</f>
        <v>0</v>
      </c>
      <c r="D144" s="62">
        <f>IF(AND($B$7&gt;2,C132&gt;0,D132=0,C130+SUM($E$130:$I$130)&lt;C140),D140,IF(OR(D10="nur Mehrbedarf",D10="nein"),D140-D145,0))</f>
        <v>0</v>
      </c>
      <c r="E144" s="62"/>
      <c r="F144" s="62"/>
      <c r="G144" s="62"/>
      <c r="H144" s="62"/>
      <c r="I144" s="110"/>
    </row>
    <row r="145" spans="1:12" ht="17.25" hidden="1" customHeight="1">
      <c r="A145" s="230" t="s">
        <v>38</v>
      </c>
      <c r="B145" s="430">
        <f>C145+D145</f>
        <v>0</v>
      </c>
      <c r="C145" s="62">
        <f>IF(AND($B$7&gt;2,D132&gt;0,C132=0,SUM(D130:$I$130)&lt;D140),0,IF(AND(C10="nur Mehrbedarf",C140&lt;C130+C149),0,IF(AND(C10="nur Mehrbedarf",C143&gt;C149),C143-C149,IF(AND(C10="nein",C143&gt;0),C143,IF(AND(C10="nur Mehrbedarf",C143=0),0,IF(AND(C10="nein",C143=0),0,C140))))))</f>
        <v>0</v>
      </c>
      <c r="D145" s="62">
        <f>IF(AND($B$7&gt;2,C132&gt;0,D132=0,C130+SUM($E$130:$I$130)&lt;C140),0,IF(AND(D10="nur Mehrbedarf",D140&lt;D130+D149),0,IF(AND(D10="nur Mehrbedarf",D143&gt;D149),D143-D149,IF(AND(D10="nein",D143&gt;0),D143,IF(AND(D10="nur Mehrbedarf",D143=0),0,IF(AND(D10="nein",D143=0),0,D140))))))</f>
        <v>0</v>
      </c>
      <c r="E145" s="306"/>
      <c r="F145" s="306"/>
      <c r="G145" s="306"/>
      <c r="H145" s="306"/>
      <c r="I145" s="434"/>
    </row>
    <row r="146" spans="1:12" ht="17.25" hidden="1" customHeight="1">
      <c r="A146" s="435"/>
      <c r="B146" s="298">
        <f t="shared" ref="B146:B150" si="18">SUM(C146:I146)</f>
        <v>0</v>
      </c>
      <c r="C146" s="62">
        <f>IF(AND($B$132=0,D130=0),C145,IF(AND($B$132=0,D145&gt;0,C130&gt;0),D145,IF(AND($B$7&gt;2,C132=0,D132=0,D145+C144&lt;C130),D145,IF(AND($B$7&gt;2,C132=0,D132=0,D145+C144&gt;C130),C130+D130-B144,IF(AND($B$7=2,C132&gt;0,D10="nur Mehrbedarf",D149+D130&gt;D140,C140&gt;C130),C130,$B$145*C132)))))</f>
        <v>0</v>
      </c>
      <c r="D146" s="62">
        <f>IF(AND($B$132=0,C130=0),D145,IF(AND($B$132=0,C145&gt;0,D130&gt;0),C145,IF(AND($B$7&gt;2,D130&gt;0,D132=0,C132=0,C145+D144&lt;D130),C145,IF(AND(B7&gt;2,D130&gt;0,C132=0,D132=0,C145+D144&gt;D130),C130+D130-B144,IF(AND($B$7=2,C10="nur Mehrbedarf",D132&gt;0,C149+C130&gt;C140,D140&gt;D130),D130,$B$145*D132)))))</f>
        <v>0</v>
      </c>
      <c r="E146" s="62">
        <f>IF(AND($C$149&gt;0,$C$145=0,$B$145*E132&gt;E130,$D$145&lt;$D$130+SUM($E$130:$I$130)),E130,IF(AND($D$149&gt;0,$D$145=0,$B$145*E132&gt;E130,$C$145&lt;$C$130+SUM($E$130:$I$130)),E130,IF(AND($B$7&gt;2,$C$132=0,$D$132=0,$C$130+$D$130&gt;$B$140),0,IF(AND($B$7&gt;2,E130&gt;0,$C$132=0,$D$132=0,$C$130+$D$130&lt;$B$140),($B$140-($C$130+$D$130))*E132,$B$145*E132))))</f>
        <v>0</v>
      </c>
      <c r="F146" s="62">
        <f>IF(AND($C$149&gt;0,$C$145=0,$B$145*F132&gt;F130,$D$145&lt;$D$130+SUM($E$130:$I$130)),F130,IF(AND($D$149&gt;0,$D$145=0,$B$145*F132&gt;F130,$C$145&lt;$C$130+SUM($E$130:$I$130)),F130,IF(AND($B$7&gt;2,$C$132=0,$D$132=0,$C$130+$D$130&gt;$B$140),0,IF(AND($B$7&gt;2,F130&gt;0,$C$132=0,$D$132=0,$C$130+$D$130&lt;$B$140),($B$140-($C$130+$D$130))*F132,$B$145*F132))))</f>
        <v>0</v>
      </c>
      <c r="G146" s="62">
        <f>IF(AND($C$149&gt;0,$C$145=0,$B$145*G132&gt;G130,$D$145&lt;$D$130+SUM($E$130:$I$130)),G130,IF(AND($D$149&gt;0,$D$145=0,$B$145*G132&gt;G130,$C$145&lt;$C$130+SUM($E$130:$I$130)),G130,IF(AND($B$7&gt;2,$C$132=0,$D$132=0,$C$130+$D$130&gt;$B$140),0,IF(AND($B$7&gt;2,G130&gt;0,$C$132=0,$D$132=0,$C$130+$D$130&lt;$B$140),($B$140-($C$130+$D$130))*G132,$B$145*G132))))</f>
        <v>0</v>
      </c>
      <c r="H146" s="62">
        <f>IF(AND($C$149&gt;0,$C$145=0,$B$145*H132&gt;H130,$D$145&lt;$D$130+SUM($E$130:$I$130)),H130,IF(AND($D$149&gt;0,$D$145=0,$B$145*H132&gt;H130,$C$145&lt;$C$130+SUM($E$130:$I$130)),H130,IF(AND($B$7&gt;2,$C$132=0,$D$132=0,$C$130+$D$130&gt;$B$140),0,IF(AND($B$7&gt;2,H130&gt;0,$C$132=0,$D$132=0,$C$130+$D$130&lt;$B$140),($B$140-($C$130+$D$130))*H132,$B$145*H132))))</f>
        <v>0</v>
      </c>
      <c r="I146" s="110">
        <f>IF(AND($C$149&gt;0,$C$145=0,$B$145*I132&gt;I130,$D$145&lt;$D$130+SUM($E$130:$I$130)),I130,IF(AND($D$149&gt;0,$D$145=0,$B$145*I132&gt;I130,$C$145&lt;$C$130+SUM($E$130:$I$130)),I130,IF(AND($B$7&gt;2,$C$132=0,$D$132=0,$C$130+$D$130&gt;$B$140),0,IF(AND($B$7&gt;2,I130&gt;0,$C$132=0,$D$132=0,$C$130+$D$130&lt;$B$140),($B$140-($C$130+$D$130))*I132,$B$145*I132))))</f>
        <v>0</v>
      </c>
    </row>
    <row r="147" spans="1:12" ht="18.75" hidden="1" customHeight="1" thickBot="1">
      <c r="A147" s="245" t="s">
        <v>40</v>
      </c>
      <c r="B147" s="285">
        <f t="shared" si="18"/>
        <v>0</v>
      </c>
      <c r="C147" s="438">
        <f>IF(C146&lt;0,0,IF(AND(C149&gt;0,D145&gt;0,D145&lt;&gt;C146,C145&gt;0,C144&lt;C130+C149),C145+C146,IF(AND(D132&gt;0,C132=0,D145&gt;D146+E146+F146+G146+H146+I146),D145-D146-E146-F146-G146-H146-I146,IF(AND($B$7=2,$B$132=0,C145&gt;0,D145&gt;0),C145,IF(AND($B$7&gt;2,C132+D132=0,C145&gt;0,D145&gt;0),($B$145-E146-F146-G146-H146-I146)*C130/(C130+D130),C146)))))</f>
        <v>0</v>
      </c>
      <c r="D147" s="438">
        <f>IF(D146&lt;0,0,IF(AND(D149&gt;0,C145&gt;0,C145&lt;&gt;D146,D145&gt;0,D144&lt;D130+D149),D145+D146,IF(AND(C132&gt;0,D132=0,C145&gt;C146+E146+F146+G146+H146+I146),C145-C146-E146-F146-G146-H146-I146,IF(AND($B$7=2,$B$132=0,C145&gt;0,D145&gt;0),D145,IF(AND($B$7&gt;2,C132+D132=0,C145&gt;0,D145&gt;0),($B$145-E146-F146-G146-H146-I146)*D130/(C130+D130),D146)))))</f>
        <v>0</v>
      </c>
      <c r="E147" s="436">
        <f>IF(AND($C$146=0,$D$146=0,$B$146&lt;$B$145),$B$145*E132,E146)</f>
        <v>0</v>
      </c>
      <c r="F147" s="436">
        <f>IF(AND($C$146=0,$D$146=0,$B$146&lt;$B$145),$B$145*F132,F146)</f>
        <v>0</v>
      </c>
      <c r="G147" s="436">
        <f>IF(AND($C$146=0,$D$146=0,$B$146&lt;$B$145),$B$145*G132,G146)</f>
        <v>0</v>
      </c>
      <c r="H147" s="436">
        <f>IF(AND($C$146=0,$D$146=0,$B$146&lt;$B$145),$B$145*H132,H146)</f>
        <v>0</v>
      </c>
      <c r="I147" s="437">
        <f>IF(AND($C$146=0,$D$146=0,$B$146&lt;$B$145),$B$145*I132,I146)</f>
        <v>0</v>
      </c>
    </row>
    <row r="148" spans="1:12" ht="19.5" hidden="1" customHeight="1" thickTop="1">
      <c r="A148" s="251" t="s">
        <v>125</v>
      </c>
      <c r="B148" s="297">
        <f t="shared" si="18"/>
        <v>416</v>
      </c>
      <c r="C148" s="297">
        <f>C130-C144-C147</f>
        <v>416</v>
      </c>
      <c r="D148" s="297">
        <f>D130-D144-D147</f>
        <v>0</v>
      </c>
      <c r="E148" s="297">
        <f>E130-E147</f>
        <v>0</v>
      </c>
      <c r="F148" s="297">
        <f>F130-F147</f>
        <v>0</v>
      </c>
      <c r="G148" s="297">
        <f>G130-G147</f>
        <v>0</v>
      </c>
      <c r="H148" s="297">
        <f>H130-H147</f>
        <v>0</v>
      </c>
      <c r="I148" s="329">
        <f>I130-I147</f>
        <v>0</v>
      </c>
    </row>
    <row r="149" spans="1:12" ht="18" hidden="1" customHeight="1">
      <c r="A149" s="247">
        <f>IF(B149&gt;0,"Mehrbedarf nach § 27 (2) SGB II",0)</f>
        <v>0</v>
      </c>
      <c r="B149" s="440">
        <f t="shared" si="18"/>
        <v>0</v>
      </c>
      <c r="C149" s="295">
        <f>IF(C10="nur Mehrbedarf",Zusatzeingaben!C45+Zusatzeingaben!B46+Zusatzeingaben!C93+Zusatzeingaben!C94,0)</f>
        <v>0</v>
      </c>
      <c r="D149" s="295">
        <f>IF(D10="nur Mehrbedarf",Zusatzeingaben!D45+Zusatzeingaben!D93+Zusatzeingaben!D94,0)</f>
        <v>0</v>
      </c>
      <c r="E149" s="62"/>
      <c r="F149" s="62"/>
      <c r="G149" s="62"/>
      <c r="H149" s="62"/>
      <c r="I149" s="110"/>
    </row>
    <row r="150" spans="1:12" ht="17.25" hidden="1" customHeight="1">
      <c r="A150" s="721">
        <f>IF(B150&gt;0,"./. Überschuss",0)</f>
        <v>0</v>
      </c>
      <c r="B150" s="430">
        <f t="shared" si="18"/>
        <v>0</v>
      </c>
      <c r="C150" s="62">
        <f>IF(AND(C10="nur Mehrbedarf",$B$148&lt;0,D148&lt;0),$B$148*-1,IF(AND(C10="nur Mehrbedarf",$B$148&lt;0,$E$148&lt;0),$B$148*-1,IF(AND(C10="nur Mehrbedarf",D148&gt;=0,C148&lt;0),C148*-1,0)))</f>
        <v>0</v>
      </c>
      <c r="D150" s="62">
        <f>IF(AND(D10="nur Mehrbedarf",$B$148&lt;0,C148&lt;0),$B$148*-1,IF(AND(D10="nur Mehrbedarf",$B$148&lt;0,$E$148&lt;0),$B$148*-1,IF(AND(D10="nur Mehrbedarf",C148&gt;=0,D148&lt;0),D148*-1,0)))</f>
        <v>0</v>
      </c>
      <c r="E150" s="62"/>
      <c r="F150" s="62"/>
      <c r="G150" s="62"/>
      <c r="H150" s="62"/>
      <c r="I150" s="110"/>
    </row>
    <row r="151" spans="1:12" ht="17.25" hidden="1" customHeight="1">
      <c r="A151" s="722"/>
      <c r="B151" s="720"/>
      <c r="C151" s="668">
        <f>C148-C156</f>
        <v>416</v>
      </c>
      <c r="D151" s="668">
        <f t="shared" ref="D151:I151" si="19">D148-D156</f>
        <v>0</v>
      </c>
      <c r="E151" s="668">
        <f t="shared" si="19"/>
        <v>0</v>
      </c>
      <c r="F151" s="668">
        <f t="shared" si="19"/>
        <v>0</v>
      </c>
      <c r="G151" s="668">
        <f t="shared" si="19"/>
        <v>0</v>
      </c>
      <c r="H151" s="668">
        <f t="shared" si="19"/>
        <v>0</v>
      </c>
      <c r="I151" s="669">
        <f t="shared" si="19"/>
        <v>0</v>
      </c>
    </row>
    <row r="152" spans="1:12" ht="17.25" hidden="1" customHeight="1">
      <c r="A152" s="224"/>
      <c r="B152" s="62"/>
      <c r="C152" s="668">
        <f>IF(Zusatzeingaben!C221="einmal",C11*10%,IF(Zusatzeingaben!C221="zweimal",C11*20%,IF(Zusatzeingaben!C221="dreimal",C11*30%,0)))</f>
        <v>0</v>
      </c>
      <c r="D152" s="668">
        <f>IF(Zusatzeingaben!D221="einmal",D11*10%,IF(Zusatzeingaben!D221="zweimal",D11*20%,IF(Zusatzeingaben!D221="dreimal",D11*30%,0)))</f>
        <v>0</v>
      </c>
      <c r="E152" s="668">
        <f>IF(Zusatzeingaben!E221="einmal",E11*10%,IF(Zusatzeingaben!E221="zweimal",E11*20%,IF(Zusatzeingaben!E221="dreimal",E11*30%,0)))</f>
        <v>0</v>
      </c>
      <c r="F152" s="668">
        <f>IF(Zusatzeingaben!F221="einmal",F11*10%,IF(Zusatzeingaben!F221="zweimal",F11*20%,IF(Zusatzeingaben!F221="dreimal",F11*30%,0)))</f>
        <v>0</v>
      </c>
      <c r="G152" s="668">
        <f>IF(Zusatzeingaben!G221="einmal",G11*10%,IF(Zusatzeingaben!G221="zweimal",G11*20%,IF(Zusatzeingaben!G221="dreimal",G11*30%,0)))</f>
        <v>0</v>
      </c>
      <c r="H152" s="668">
        <f>IF(Zusatzeingaben!H221="einmal",H11*10%,IF(Zusatzeingaben!H221="zweimal",H11*20%,IF(Zusatzeingaben!H221="dreimal",H11*30%,0)))</f>
        <v>0</v>
      </c>
      <c r="I152" s="669">
        <f>IF(Zusatzeingaben!I221="einmal",I11*10%,IF(Zusatzeingaben!I221="zweimal",I11*20%,IF(Zusatzeingaben!I221="dreimal",I11*30%,0)))</f>
        <v>0</v>
      </c>
    </row>
    <row r="153" spans="1:12" ht="17.25" hidden="1" customHeight="1">
      <c r="A153" s="722"/>
      <c r="B153" s="62"/>
      <c r="C153" s="62">
        <f t="shared" ref="C153:I153" si="20">IF(C151&gt;C148,C148,C151)</f>
        <v>416</v>
      </c>
      <c r="D153" s="62">
        <f t="shared" si="20"/>
        <v>0</v>
      </c>
      <c r="E153" s="62">
        <f t="shared" si="20"/>
        <v>0</v>
      </c>
      <c r="F153" s="62">
        <f t="shared" si="20"/>
        <v>0</v>
      </c>
      <c r="G153" s="62">
        <f t="shared" si="20"/>
        <v>0</v>
      </c>
      <c r="H153" s="62">
        <f t="shared" si="20"/>
        <v>0</v>
      </c>
      <c r="I153" s="110">
        <f t="shared" si="20"/>
        <v>0</v>
      </c>
    </row>
    <row r="154" spans="1:12" ht="17.25" hidden="1" customHeight="1">
      <c r="A154" s="721">
        <f>IF(B154&gt;0,"./. Minderung Meldeversäumnis",0)</f>
        <v>0</v>
      </c>
      <c r="B154" s="284">
        <f>SUM(C154:I154)</f>
        <v>0</v>
      </c>
      <c r="C154" s="62">
        <f>IF(OR(C148&lt;0,C152=0),0,MIN(C153,C152))</f>
        <v>0</v>
      </c>
      <c r="D154" s="62">
        <f t="shared" ref="D154:I154" si="21">IF(OR(D148&lt;0,D152=0),0,MIN(D153,D152))</f>
        <v>0</v>
      </c>
      <c r="E154" s="62">
        <f t="shared" si="21"/>
        <v>0</v>
      </c>
      <c r="F154" s="62">
        <f t="shared" si="21"/>
        <v>0</v>
      </c>
      <c r="G154" s="62">
        <f t="shared" si="21"/>
        <v>0</v>
      </c>
      <c r="H154" s="62">
        <f t="shared" si="21"/>
        <v>0</v>
      </c>
      <c r="I154" s="110">
        <f t="shared" si="21"/>
        <v>0</v>
      </c>
    </row>
    <row r="155" spans="1:12" ht="17.25" hidden="1" customHeight="1">
      <c r="A155" s="411"/>
      <c r="B155" s="719"/>
      <c r="C155" s="132">
        <f>Zusatzeingaben!C225</f>
        <v>0</v>
      </c>
      <c r="D155" s="132">
        <f>Zusatzeingaben!D225</f>
        <v>0</v>
      </c>
      <c r="E155" s="132">
        <f>Zusatzeingaben!E225</f>
        <v>0</v>
      </c>
      <c r="F155" s="132">
        <f>Zusatzeingaben!F225</f>
        <v>0</v>
      </c>
      <c r="G155" s="132">
        <f>Zusatzeingaben!G225</f>
        <v>0</v>
      </c>
      <c r="H155" s="132">
        <f>Zusatzeingaben!H225</f>
        <v>0</v>
      </c>
      <c r="I155" s="133">
        <f>Zusatzeingaben!I225</f>
        <v>0</v>
      </c>
    </row>
    <row r="156" spans="1:12" ht="17.25" hidden="1" customHeight="1">
      <c r="A156" s="408"/>
      <c r="B156" s="429"/>
      <c r="C156" s="668">
        <f t="shared" ref="C156:I156" si="22">IF(C155&gt;C148,C148,C155)</f>
        <v>0</v>
      </c>
      <c r="D156" s="668">
        <f t="shared" si="22"/>
        <v>0</v>
      </c>
      <c r="E156" s="668">
        <f t="shared" si="22"/>
        <v>0</v>
      </c>
      <c r="F156" s="668">
        <f t="shared" si="22"/>
        <v>0</v>
      </c>
      <c r="G156" s="668">
        <f t="shared" si="22"/>
        <v>0</v>
      </c>
      <c r="H156" s="668">
        <f t="shared" si="22"/>
        <v>0</v>
      </c>
      <c r="I156" s="669">
        <f t="shared" si="22"/>
        <v>0</v>
      </c>
    </row>
    <row r="157" spans="1:12" ht="18" hidden="1" customHeight="1" thickBot="1">
      <c r="A157" s="670">
        <f>IF(B157&gt;0,"./. Minderung Pflichtverletzung",0)</f>
        <v>0</v>
      </c>
      <c r="B157" s="671">
        <f>SUM(C157:I157)</f>
        <v>0</v>
      </c>
      <c r="C157" s="672">
        <f>IF(C156&lt;0,0,C156)</f>
        <v>0</v>
      </c>
      <c r="D157" s="286">
        <f t="shared" ref="D157:I157" si="23">IF(D156&lt;0,0,D156)</f>
        <v>0</v>
      </c>
      <c r="E157" s="286">
        <f t="shared" si="23"/>
        <v>0</v>
      </c>
      <c r="F157" s="286">
        <f t="shared" si="23"/>
        <v>0</v>
      </c>
      <c r="G157" s="286">
        <f t="shared" si="23"/>
        <v>0</v>
      </c>
      <c r="H157" s="286">
        <f t="shared" si="23"/>
        <v>0</v>
      </c>
      <c r="I157" s="287">
        <f t="shared" si="23"/>
        <v>0</v>
      </c>
    </row>
    <row r="158" spans="1:12" s="212" customFormat="1" ht="16.5" hidden="1" customHeight="1" thickTop="1">
      <c r="A158" s="253"/>
      <c r="B158" s="213"/>
      <c r="C158" s="214">
        <f>IF(C10="nur Mehrbedarf",C149-C150,0)</f>
        <v>0</v>
      </c>
      <c r="D158" s="214">
        <f>IF(D10="nur Mehrbedarf",D149-D150,0)</f>
        <v>0</v>
      </c>
      <c r="E158" s="214"/>
      <c r="F158" s="214"/>
      <c r="G158" s="214"/>
      <c r="H158" s="214"/>
      <c r="I158" s="254"/>
      <c r="K158" s="424"/>
      <c r="L158" s="424"/>
    </row>
    <row r="159" spans="1:12" ht="17.25" hidden="1" customHeight="1">
      <c r="A159" s="431"/>
      <c r="B159" s="429">
        <f>SUM(C159:I159)</f>
        <v>416</v>
      </c>
      <c r="C159" s="429">
        <f t="shared" ref="C159:I159" si="24">IF(C10="nur Mehrbedarf",C158,C148-C154-C157)</f>
        <v>416</v>
      </c>
      <c r="D159" s="429">
        <f t="shared" si="24"/>
        <v>0</v>
      </c>
      <c r="E159" s="429">
        <f t="shared" si="24"/>
        <v>0</v>
      </c>
      <c r="F159" s="429">
        <f t="shared" si="24"/>
        <v>0</v>
      </c>
      <c r="G159" s="429">
        <f t="shared" si="24"/>
        <v>0</v>
      </c>
      <c r="H159" s="429">
        <f t="shared" si="24"/>
        <v>0</v>
      </c>
      <c r="I159" s="432">
        <f t="shared" si="24"/>
        <v>0</v>
      </c>
    </row>
    <row r="160" spans="1:12" ht="24" hidden="1" customHeight="1" thickBot="1">
      <c r="A160" s="332" t="s">
        <v>358</v>
      </c>
      <c r="B160" s="427">
        <f>SUM(C160:I160)</f>
        <v>416</v>
      </c>
      <c r="C160" s="427">
        <f t="shared" ref="C160:I160" si="25">IF(C10="nein",0,IF(C159&lt;0,0,C159))</f>
        <v>416</v>
      </c>
      <c r="D160" s="427">
        <f t="shared" si="25"/>
        <v>0</v>
      </c>
      <c r="E160" s="427">
        <f t="shared" si="25"/>
        <v>0</v>
      </c>
      <c r="F160" s="427">
        <f t="shared" si="25"/>
        <v>0</v>
      </c>
      <c r="G160" s="427">
        <f t="shared" si="25"/>
        <v>0</v>
      </c>
      <c r="H160" s="427">
        <f t="shared" si="25"/>
        <v>0</v>
      </c>
      <c r="I160" s="428">
        <f t="shared" si="25"/>
        <v>0</v>
      </c>
    </row>
    <row r="161" spans="1:9" ht="60" hidden="1" customHeight="1" thickBot="1">
      <c r="A161" s="1146" t="s">
        <v>181</v>
      </c>
    </row>
    <row r="162" spans="1:9" s="212" customFormat="1" ht="21.75" customHeight="1">
      <c r="A162" s="2112" t="s">
        <v>387</v>
      </c>
      <c r="B162" s="2105"/>
      <c r="C162" s="2105"/>
      <c r="D162" s="2105"/>
      <c r="E162" s="2105"/>
      <c r="F162" s="2105"/>
      <c r="G162" s="2105"/>
      <c r="H162" s="2105"/>
      <c r="I162" s="2106"/>
    </row>
    <row r="163" spans="1:9" s="212" customFormat="1" ht="24.95" customHeight="1" thickBot="1">
      <c r="A163" s="238" t="s">
        <v>139</v>
      </c>
      <c r="B163" s="2107">
        <f>Zusatzeingaben!B2</f>
        <v>0</v>
      </c>
      <c r="C163" s="2107"/>
      <c r="D163" s="239" t="s">
        <v>33</v>
      </c>
      <c r="E163" s="338">
        <f>Zusatzeingaben!E2</f>
        <v>43344</v>
      </c>
      <c r="F163" s="1934" t="s">
        <v>103</v>
      </c>
      <c r="G163" s="338">
        <f>Berechnung!G3</f>
        <v>43373</v>
      </c>
      <c r="H163" s="240"/>
      <c r="I163" s="241"/>
    </row>
    <row r="164" spans="1:9" s="212" customFormat="1" ht="20.100000000000001" customHeight="1">
      <c r="A164" s="1928"/>
      <c r="B164" s="1929"/>
      <c r="C164" s="1930"/>
      <c r="D164" s="1928"/>
      <c r="E164" s="1931"/>
      <c r="F164" s="1932"/>
      <c r="G164" s="1933"/>
      <c r="H164" s="219"/>
      <c r="I164" s="217"/>
    </row>
    <row r="165" spans="1:9" s="212" customFormat="1" ht="18.75" customHeight="1">
      <c r="A165" s="1123" t="s">
        <v>359</v>
      </c>
      <c r="B165" s="1002" t="s">
        <v>1</v>
      </c>
      <c r="C165" s="1002" t="str">
        <f>Zusatzeingaben!C4</f>
        <v>Antragsteller</v>
      </c>
      <c r="D165" s="1002" t="str">
        <f>Zusatzeingaben!D4</f>
        <v>Partner(in)</v>
      </c>
      <c r="E165" s="1002" t="str">
        <f>Zusatzeingaben!E4</f>
        <v>Kind 1</v>
      </c>
      <c r="F165" s="1002" t="s">
        <v>8</v>
      </c>
      <c r="G165" s="1002" t="s">
        <v>9</v>
      </c>
      <c r="H165" s="1002" t="s">
        <v>10</v>
      </c>
      <c r="I165" s="1003" t="s">
        <v>34</v>
      </c>
    </row>
    <row r="166" spans="1:9" ht="18" customHeight="1">
      <c r="A166" s="224" t="s">
        <v>360</v>
      </c>
      <c r="B166" s="306"/>
      <c r="C166" s="306"/>
      <c r="D166" s="306"/>
      <c r="E166" s="1118" t="str">
        <f>IF(E62&gt;0,"ja","nein")</f>
        <v>nein</v>
      </c>
      <c r="F166" s="1118" t="str">
        <f t="shared" ref="F166:I166" si="26">IF(F62&gt;0,"ja","nein")</f>
        <v>nein</v>
      </c>
      <c r="G166" s="1118" t="str">
        <f t="shared" si="26"/>
        <v>nein</v>
      </c>
      <c r="H166" s="1118" t="str">
        <f t="shared" si="26"/>
        <v>nein</v>
      </c>
      <c r="I166" s="1131" t="str">
        <f t="shared" si="26"/>
        <v>nein</v>
      </c>
    </row>
    <row r="167" spans="1:9" ht="18" customHeight="1">
      <c r="A167" s="224" t="s">
        <v>374</v>
      </c>
      <c r="B167" s="295">
        <f>IF(Zusatzeingaben!C46="ja",600,900)</f>
        <v>600</v>
      </c>
      <c r="C167" s="876"/>
      <c r="D167" s="876"/>
      <c r="E167" s="315"/>
      <c r="F167" s="315"/>
      <c r="G167" s="315"/>
      <c r="H167" s="315"/>
      <c r="I167" s="1132"/>
    </row>
    <row r="168" spans="1:9" ht="18" customHeight="1">
      <c r="A168" s="468" t="s">
        <v>375</v>
      </c>
      <c r="B168" s="469">
        <f>C168+D168</f>
        <v>0</v>
      </c>
      <c r="C168" s="469">
        <f>C54+C58+C59+C60+C61+C63+C64+C65+C66+C67</f>
        <v>0</v>
      </c>
      <c r="D168" s="469">
        <f>D54+D58+D59+D60+D61+D63+D64+D65+D66+D67</f>
        <v>0</v>
      </c>
      <c r="E168" s="315"/>
      <c r="F168" s="315"/>
      <c r="G168" s="315"/>
      <c r="H168" s="315"/>
      <c r="I168" s="1132"/>
    </row>
    <row r="169" spans="1:9" ht="18" customHeight="1">
      <c r="A169" s="262" t="s">
        <v>373</v>
      </c>
      <c r="B169" s="1129"/>
      <c r="C169" s="316"/>
      <c r="D169" s="1130"/>
      <c r="E169" s="316">
        <f>IF(AND($B$168&gt;=$B$167,E166="ja"),$C$199,0)</f>
        <v>0</v>
      </c>
      <c r="F169" s="316">
        <f>IF(AND($B$168&gt;=$B$167,F166="ja"),$C$199,0)</f>
        <v>0</v>
      </c>
      <c r="G169" s="316">
        <f>IF(AND($B$168&gt;=$B$167,G166="ja"),$C$199,0)</f>
        <v>0</v>
      </c>
      <c r="H169" s="316">
        <f>IF(AND($B$168&gt;=$B$167,H166="ja"),$C$199,0)</f>
        <v>0</v>
      </c>
      <c r="I169" s="317">
        <f>IF(AND($B$168&gt;=$B$167,I166="ja"),$C$199,0)</f>
        <v>0</v>
      </c>
    </row>
    <row r="170" spans="1:9" ht="18" customHeight="1">
      <c r="A170" s="450" t="s">
        <v>366</v>
      </c>
      <c r="B170" s="1119"/>
      <c r="C170" s="776"/>
      <c r="D170" s="849"/>
      <c r="E170" s="1120">
        <f>E121-E62</f>
        <v>0</v>
      </c>
      <c r="F170" s="1120">
        <f t="shared" ref="F170:I170" si="27">F121-F62</f>
        <v>0</v>
      </c>
      <c r="G170" s="1120">
        <f t="shared" si="27"/>
        <v>0</v>
      </c>
      <c r="H170" s="1120">
        <f t="shared" si="27"/>
        <v>0</v>
      </c>
      <c r="I170" s="1133">
        <f t="shared" si="27"/>
        <v>0</v>
      </c>
    </row>
    <row r="171" spans="1:9" ht="18" customHeight="1">
      <c r="A171" s="468" t="s">
        <v>367</v>
      </c>
      <c r="B171" s="1121"/>
      <c r="C171" s="854"/>
      <c r="D171" s="1122"/>
      <c r="E171" s="469">
        <f>IF(E170&lt;0,0,E170)</f>
        <v>0</v>
      </c>
      <c r="F171" s="469">
        <f t="shared" ref="F171:I171" si="28">IF(F170&lt;0,0,F170)</f>
        <v>0</v>
      </c>
      <c r="G171" s="469">
        <f t="shared" si="28"/>
        <v>0</v>
      </c>
      <c r="H171" s="469">
        <f t="shared" si="28"/>
        <v>0</v>
      </c>
      <c r="I171" s="470">
        <f t="shared" si="28"/>
        <v>0</v>
      </c>
    </row>
    <row r="172" spans="1:9" ht="18" customHeight="1">
      <c r="A172" s="468" t="s">
        <v>376</v>
      </c>
      <c r="B172" s="295">
        <f>SUM(E172:I172)</f>
        <v>0</v>
      </c>
      <c r="C172" s="315"/>
      <c r="D172" s="315"/>
      <c r="E172" s="62">
        <f>IF(E169-E171&lt;0,0,E169-E171)</f>
        <v>0</v>
      </c>
      <c r="F172" s="62">
        <f t="shared" ref="F172:I172" si="29">IF(F169-F171&lt;0,0,F169-F171)</f>
        <v>0</v>
      </c>
      <c r="G172" s="62">
        <f t="shared" si="29"/>
        <v>0</v>
      </c>
      <c r="H172" s="62">
        <f t="shared" si="29"/>
        <v>0</v>
      </c>
      <c r="I172" s="110">
        <f t="shared" si="29"/>
        <v>0</v>
      </c>
    </row>
    <row r="173" spans="1:9" ht="18" customHeight="1">
      <c r="A173" s="224" t="s">
        <v>365</v>
      </c>
      <c r="B173" s="62">
        <f>IF(AND(C10="nein",C140&gt;0),B140-C130,IF(AND(D10="nein",D140&gt;0),B140-D130,B140))</f>
        <v>0</v>
      </c>
      <c r="C173" s="315"/>
      <c r="D173" s="315"/>
      <c r="E173" s="315"/>
      <c r="F173" s="315"/>
      <c r="G173" s="315"/>
      <c r="H173" s="315"/>
      <c r="I173" s="1132"/>
    </row>
    <row r="174" spans="1:9" ht="18" customHeight="1">
      <c r="A174" s="224" t="s">
        <v>380</v>
      </c>
      <c r="B174" s="295">
        <f>C174+D174</f>
        <v>0</v>
      </c>
      <c r="C174" s="1148">
        <f>IF(E174&lt;0,0,E174)</f>
        <v>0</v>
      </c>
      <c r="D174" s="1148">
        <f>IF(F174&lt;0,0,F174)</f>
        <v>0</v>
      </c>
      <c r="E174" s="1140">
        <f>C55+C56+C57+C58-C75-C81-C86-C91-C97-C103-C107-C112-C116-C117</f>
        <v>0</v>
      </c>
      <c r="F174" s="1140">
        <f>D55+D56+D57+D58-D75-D81-D86-D91-D97-D103-D107-D112-D116-D117</f>
        <v>0</v>
      </c>
      <c r="G174" s="315"/>
      <c r="H174" s="315"/>
      <c r="I174" s="1132"/>
    </row>
    <row r="175" spans="1:9" ht="18" customHeight="1">
      <c r="A175" s="224" t="s">
        <v>381</v>
      </c>
      <c r="B175" s="295">
        <f>B173-B174</f>
        <v>0</v>
      </c>
      <c r="C175" s="315"/>
      <c r="D175" s="315"/>
      <c r="E175" s="315"/>
      <c r="F175" s="315"/>
      <c r="G175" s="315"/>
      <c r="H175" s="315"/>
      <c r="I175" s="1132"/>
    </row>
    <row r="176" spans="1:9" ht="18" customHeight="1">
      <c r="A176" s="1134" t="s">
        <v>368</v>
      </c>
      <c r="B176" s="327"/>
      <c r="C176" s="315"/>
      <c r="D176" s="315"/>
      <c r="E176" s="315"/>
      <c r="F176" s="315"/>
      <c r="G176" s="315"/>
      <c r="H176" s="315"/>
      <c r="I176" s="1132"/>
    </row>
    <row r="177" spans="1:9" ht="18" customHeight="1">
      <c r="A177" s="1135" t="s">
        <v>369</v>
      </c>
      <c r="B177" s="1124">
        <f>C177+D177</f>
        <v>416</v>
      </c>
      <c r="C177" s="1147">
        <f>IF(C10="nein",0,C11)</f>
        <v>416</v>
      </c>
      <c r="D177" s="1147">
        <f>IF(D10="nein",0,D11)</f>
        <v>0</v>
      </c>
      <c r="E177" s="315"/>
      <c r="F177" s="315"/>
      <c r="G177" s="315"/>
      <c r="H177" s="315"/>
      <c r="I177" s="1132"/>
    </row>
    <row r="178" spans="1:9" ht="18" customHeight="1">
      <c r="A178" s="1135" t="s">
        <v>370</v>
      </c>
      <c r="B178" s="1124">
        <f>C178+D178</f>
        <v>0</v>
      </c>
      <c r="C178" s="1136">
        <f>SUM(C13:C19)</f>
        <v>0</v>
      </c>
      <c r="D178" s="1136">
        <f>SUM(D13:D19)</f>
        <v>0</v>
      </c>
      <c r="E178" s="315"/>
      <c r="F178" s="315"/>
      <c r="G178" s="315"/>
      <c r="H178" s="315"/>
      <c r="I178" s="1132"/>
    </row>
    <row r="179" spans="1:9" ht="18" customHeight="1" thickBot="1">
      <c r="A179" s="1135" t="s">
        <v>371</v>
      </c>
      <c r="B179" s="1126">
        <f>A205</f>
        <v>0</v>
      </c>
      <c r="C179" s="1137">
        <f>A203</f>
        <v>0</v>
      </c>
      <c r="D179" s="315"/>
      <c r="E179" s="315"/>
      <c r="F179" s="315"/>
      <c r="G179" s="315"/>
      <c r="H179" s="315"/>
      <c r="I179" s="1132"/>
    </row>
    <row r="180" spans="1:9" ht="18" customHeight="1" thickTop="1">
      <c r="A180" s="1138" t="s">
        <v>372</v>
      </c>
      <c r="B180" s="1125">
        <f>SUM(B177:B179)</f>
        <v>416</v>
      </c>
      <c r="C180" s="315"/>
      <c r="D180" s="315"/>
      <c r="E180" s="315"/>
      <c r="F180" s="315"/>
      <c r="G180" s="315"/>
      <c r="H180" s="315"/>
      <c r="I180" s="1132"/>
    </row>
    <row r="181" spans="1:9" ht="18" customHeight="1">
      <c r="A181" s="1134" t="s">
        <v>377</v>
      </c>
      <c r="B181" s="315"/>
      <c r="C181" s="315"/>
      <c r="D181" s="315"/>
      <c r="E181" s="315"/>
      <c r="F181" s="315"/>
      <c r="G181" s="315"/>
      <c r="H181" s="315"/>
      <c r="I181" s="1132"/>
    </row>
    <row r="182" spans="1:9" ht="18" customHeight="1">
      <c r="A182" s="1135" t="s">
        <v>378</v>
      </c>
      <c r="B182" s="1124">
        <f>B180</f>
        <v>416</v>
      </c>
      <c r="C182" s="315"/>
      <c r="D182" s="315"/>
      <c r="E182" s="315"/>
      <c r="F182" s="315"/>
      <c r="G182" s="315"/>
      <c r="H182" s="315"/>
      <c r="I182" s="1132"/>
    </row>
    <row r="183" spans="1:9" ht="18" customHeight="1" thickBot="1">
      <c r="A183" s="1135" t="s">
        <v>379</v>
      </c>
      <c r="B183" s="1126">
        <f>D199</f>
        <v>0</v>
      </c>
      <c r="C183" s="315"/>
      <c r="D183" s="315"/>
      <c r="E183" s="315"/>
      <c r="F183" s="315"/>
      <c r="G183" s="315"/>
      <c r="H183" s="315"/>
      <c r="I183" s="1132"/>
    </row>
    <row r="184" spans="1:9" ht="18" customHeight="1" thickTop="1">
      <c r="A184" s="1138" t="s">
        <v>372</v>
      </c>
      <c r="B184" s="1125">
        <f>B182+B183</f>
        <v>416</v>
      </c>
      <c r="C184" s="315"/>
      <c r="D184" s="315"/>
      <c r="E184" s="315"/>
      <c r="F184" s="315"/>
      <c r="G184" s="315"/>
      <c r="H184" s="315"/>
      <c r="I184" s="1132"/>
    </row>
    <row r="185" spans="1:9" ht="18" customHeight="1">
      <c r="A185" s="243"/>
      <c r="B185" s="315"/>
      <c r="C185" s="315"/>
      <c r="D185" s="315"/>
      <c r="E185" s="315"/>
      <c r="F185" s="315"/>
      <c r="G185" s="315"/>
      <c r="H185" s="315"/>
      <c r="I185" s="1132"/>
    </row>
    <row r="186" spans="1:9" ht="18" customHeight="1">
      <c r="A186" s="224" t="s">
        <v>361</v>
      </c>
      <c r="B186" s="295">
        <f>B172</f>
        <v>0</v>
      </c>
      <c r="C186" s="315"/>
      <c r="D186" s="315"/>
      <c r="E186" s="315"/>
      <c r="F186" s="315"/>
      <c r="G186" s="315"/>
      <c r="H186" s="315"/>
      <c r="I186" s="1132"/>
    </row>
    <row r="187" spans="1:9" ht="18" customHeight="1">
      <c r="A187" s="224" t="s">
        <v>384</v>
      </c>
      <c r="B187" s="295">
        <f>IF(B173&gt;B180,B173-B180,0)</f>
        <v>0</v>
      </c>
      <c r="C187" s="315"/>
      <c r="D187" s="315"/>
      <c r="E187" s="315"/>
      <c r="F187" s="315"/>
      <c r="G187" s="315"/>
      <c r="H187" s="315"/>
      <c r="I187" s="1132"/>
    </row>
    <row r="188" spans="1:9" ht="18" customHeight="1">
      <c r="A188" s="243"/>
      <c r="B188" s="295">
        <f>IF((B174=0),B173-B180,C188)</f>
        <v>-416</v>
      </c>
      <c r="C188" s="316">
        <f>IF((B175=0),ROUNDDOWN((B174-B180)/10,0)*5,D188)</f>
        <v>-205</v>
      </c>
      <c r="D188" s="316">
        <f>IF((B175&gt;B180),(B175-B180)+ROUNDDOWN(B174/10,0)*5,E188)</f>
        <v>-205</v>
      </c>
      <c r="E188" s="316">
        <f>ROUNDDOWN((B173-B180)/10,0)*5</f>
        <v>-205</v>
      </c>
      <c r="F188" s="315"/>
      <c r="G188" s="315"/>
      <c r="H188" s="315"/>
      <c r="I188" s="1132"/>
    </row>
    <row r="189" spans="1:9" ht="18" customHeight="1" thickBot="1">
      <c r="A189" s="224" t="s">
        <v>383</v>
      </c>
      <c r="B189" s="312">
        <f>IF(B188&lt;0,0,B188)</f>
        <v>0</v>
      </c>
      <c r="C189" s="315"/>
      <c r="D189" s="315"/>
      <c r="E189" s="315"/>
      <c r="F189" s="315"/>
      <c r="G189" s="315"/>
      <c r="H189" s="315"/>
      <c r="I189" s="1132"/>
    </row>
    <row r="190" spans="1:9" ht="18" customHeight="1" thickTop="1">
      <c r="A190" s="1143" t="s">
        <v>388</v>
      </c>
      <c r="B190" s="1145">
        <f>IF(B186-B189&lt;0,0,B186-B189)</f>
        <v>0</v>
      </c>
      <c r="C190" s="315"/>
      <c r="D190" s="315"/>
      <c r="E190" s="315"/>
      <c r="F190" s="315"/>
      <c r="G190" s="315"/>
      <c r="H190" s="315"/>
      <c r="I190" s="1132"/>
    </row>
    <row r="191" spans="1:9" ht="18" customHeight="1">
      <c r="A191" s="1143" t="s">
        <v>385</v>
      </c>
      <c r="B191" s="1144">
        <f>B160</f>
        <v>416</v>
      </c>
      <c r="C191" s="315"/>
      <c r="D191" s="315"/>
      <c r="E191" s="315"/>
      <c r="F191" s="315"/>
      <c r="G191" s="315"/>
      <c r="H191" s="315"/>
      <c r="I191" s="1132"/>
    </row>
    <row r="192" spans="1:9" ht="18" customHeight="1">
      <c r="A192" s="1143" t="str">
        <f>IF(B190&lt;B191,"möglicher Wohngeldanspruch",0)</f>
        <v>möglicher Wohngeldanspruch</v>
      </c>
      <c r="B192" s="1144">
        <f>IF(B190&lt;B191,Wohngeld!B58,0)</f>
        <v>0</v>
      </c>
      <c r="C192" s="315"/>
      <c r="D192" s="315"/>
      <c r="E192" s="315"/>
      <c r="F192" s="315"/>
      <c r="G192" s="315"/>
      <c r="H192" s="315"/>
      <c r="I192" s="1132"/>
    </row>
    <row r="193" spans="1:14" ht="24.95" customHeight="1" thickBot="1">
      <c r="A193" s="1139" t="s">
        <v>382</v>
      </c>
      <c r="B193" s="1142" t="str">
        <f>IF(B173&gt;B184,"0,00 €",IF(B191=0,"0,00 €",IF(B190+B192&lt;B191,"0,00 €",ROUND(B190,0))))</f>
        <v>0,00 €</v>
      </c>
      <c r="C193" s="1141">
        <f>IF(B173&gt;B184,0,IF(B191=0,0,IF(B190+B192&lt;B191,0,ROUND(B190,0))))</f>
        <v>0</v>
      </c>
      <c r="D193" s="2136" t="str">
        <f>IF(B191=0,"kein KiZ - gesamter Bedarf gedeckt",IF(AND(B173&lt;B184,B190&gt;0,B192&gt;0,B191-B190&lt;B192),"Anspruch auf KiZ durch Wohngeld",IF(AND(B190&gt;0,B173&lt;B184,B190+B192&lt;B191),"kein KiZ - Hilfebedürftigkeit kann - ggf. auch mit Wohngeld - nicht vermieden werden",IF(B168&lt;B167,"kein KiZ - Einkommen der Eltern unterschreitet die Mindesteinkommensgrenze",IF(B173&gt;B184,"kein KiZ - Einkommen der Eltern übersteigt die Höchsteinkommensgrenze",0)))))</f>
        <v>kein KiZ - Einkommen der Eltern unterschreitet die Mindesteinkommensgrenze</v>
      </c>
      <c r="E193" s="2137"/>
      <c r="F193" s="2137"/>
      <c r="G193" s="2137"/>
      <c r="H193" s="2137"/>
      <c r="I193" s="2138"/>
    </row>
    <row r="194" spans="1:14" ht="22.5" customHeight="1">
      <c r="A194" s="647"/>
      <c r="B194" s="839"/>
      <c r="C194" s="839"/>
      <c r="D194" s="839"/>
      <c r="E194" s="839"/>
      <c r="F194" s="839"/>
      <c r="G194" s="839"/>
      <c r="H194" s="839"/>
      <c r="I194" s="839"/>
    </row>
    <row r="195" spans="1:14" ht="18" hidden="1" customHeight="1">
      <c r="B195" s="839"/>
      <c r="C195" s="839"/>
      <c r="D195" s="839"/>
      <c r="E195" s="839"/>
      <c r="F195" s="839"/>
      <c r="G195" s="839"/>
      <c r="H195" s="839"/>
      <c r="I195" s="839"/>
    </row>
    <row r="196" spans="1:14" ht="18" hidden="1" customHeight="1">
      <c r="A196" s="839" t="s">
        <v>361</v>
      </c>
      <c r="B196" s="1127">
        <v>42552</v>
      </c>
      <c r="C196" s="858">
        <v>160</v>
      </c>
      <c r="D196" s="839"/>
      <c r="E196" s="839"/>
      <c r="F196" s="839"/>
      <c r="G196" s="839"/>
      <c r="H196" s="839"/>
      <c r="I196" s="839"/>
    </row>
    <row r="197" spans="1:14" ht="18" hidden="1" customHeight="1">
      <c r="A197" s="839"/>
      <c r="B197" s="1127">
        <v>42736</v>
      </c>
      <c r="C197" s="858">
        <v>170</v>
      </c>
    </row>
    <row r="198" spans="1:14" ht="18" hidden="1" customHeight="1">
      <c r="C198" s="858"/>
    </row>
    <row r="199" spans="1:14" ht="18" hidden="1" customHeight="1">
      <c r="C199" s="1117">
        <f>VLOOKUP(E3,B196:C197,2)</f>
        <v>170</v>
      </c>
      <c r="D199" s="1128">
        <f>SUM(E199:I199)</f>
        <v>0</v>
      </c>
      <c r="E199" s="1007">
        <f>IF(E166="nein",0,IF(E171&gt;=$C$199,0,IF(AND(E171&gt;0,E171&lt;$C$199),$C$199-E171,$C$199)))</f>
        <v>0</v>
      </c>
      <c r="F199" s="1007">
        <f t="shared" ref="F199:I199" si="30">IF(F166="nein",0,IF(F171&gt;=$C$199,0,IF(AND(F171&gt;0,F171&lt;$C$199),$C$199-F171,$C$199)))</f>
        <v>0</v>
      </c>
      <c r="G199" s="1007">
        <f t="shared" si="30"/>
        <v>0</v>
      </c>
      <c r="H199" s="1007">
        <f t="shared" si="30"/>
        <v>0</v>
      </c>
      <c r="I199" s="1007">
        <f t="shared" si="30"/>
        <v>0</v>
      </c>
    </row>
    <row r="200" spans="1:14" ht="18" hidden="1" customHeight="1"/>
    <row r="201" spans="1:14" ht="18" hidden="1" customHeight="1"/>
    <row r="202" spans="1:14" ht="18" hidden="1" customHeight="1">
      <c r="A202" s="1112" t="s">
        <v>364</v>
      </c>
      <c r="C202" s="1112" t="s">
        <v>363</v>
      </c>
      <c r="J202" s="1112" t="s">
        <v>47</v>
      </c>
    </row>
    <row r="203" spans="1:14" ht="18" hidden="1" customHeight="1">
      <c r="A203" s="1116">
        <f>C211/100</f>
        <v>0</v>
      </c>
      <c r="B203" s="1107" t="s">
        <v>362</v>
      </c>
      <c r="C203" s="1108">
        <v>42370</v>
      </c>
      <c r="D203" s="1108">
        <v>42736</v>
      </c>
      <c r="E203" s="1108">
        <v>43101</v>
      </c>
      <c r="F203" s="1108">
        <v>43466</v>
      </c>
      <c r="G203" s="1108">
        <v>43831</v>
      </c>
      <c r="I203" s="1107" t="s">
        <v>362</v>
      </c>
      <c r="J203" s="1108">
        <v>42370</v>
      </c>
      <c r="K203" s="1108">
        <v>42736</v>
      </c>
      <c r="L203" s="1108">
        <v>43101</v>
      </c>
      <c r="M203" s="1108">
        <v>43466</v>
      </c>
      <c r="N203" s="1108">
        <v>43831</v>
      </c>
    </row>
    <row r="204" spans="1:14" ht="18" hidden="1" customHeight="1">
      <c r="A204" s="858">
        <f>B213</f>
        <v>0</v>
      </c>
      <c r="B204" s="1107">
        <v>1</v>
      </c>
      <c r="C204" s="1109">
        <v>76.64</v>
      </c>
      <c r="D204" s="1109">
        <v>77.25</v>
      </c>
      <c r="E204" s="1924">
        <v>77.239999999999995</v>
      </c>
      <c r="F204" s="1109"/>
      <c r="I204" s="1107">
        <v>1</v>
      </c>
      <c r="J204" s="1109">
        <v>83.16</v>
      </c>
      <c r="K204" s="1109">
        <v>83.16</v>
      </c>
      <c r="L204" s="1924">
        <v>83.25</v>
      </c>
      <c r="M204" s="1109"/>
    </row>
    <row r="205" spans="1:14" ht="18" hidden="1" customHeight="1">
      <c r="A205" s="1117">
        <f>A204*A203</f>
        <v>0</v>
      </c>
      <c r="B205" s="1107">
        <v>2</v>
      </c>
      <c r="C205" s="1109">
        <v>62.13</v>
      </c>
      <c r="D205" s="1109">
        <v>62.93</v>
      </c>
      <c r="E205" s="1924">
        <v>62.92</v>
      </c>
      <c r="F205" s="1109"/>
      <c r="I205" s="1107">
        <v>2</v>
      </c>
      <c r="J205" s="1109">
        <v>71.17</v>
      </c>
      <c r="K205" s="1109">
        <v>71.17</v>
      </c>
      <c r="L205" s="1924">
        <v>71.3</v>
      </c>
      <c r="M205" s="1109"/>
    </row>
    <row r="206" spans="1:14" ht="18" hidden="1" customHeight="1">
      <c r="B206" s="1107">
        <v>3</v>
      </c>
      <c r="C206" s="1109">
        <v>52.24</v>
      </c>
      <c r="D206" s="1109">
        <v>53.09</v>
      </c>
      <c r="E206" s="1924">
        <v>53.08</v>
      </c>
      <c r="F206" s="1109"/>
      <c r="I206" s="1107">
        <v>3</v>
      </c>
      <c r="J206" s="1109">
        <v>62.2</v>
      </c>
      <c r="K206" s="1109">
        <v>62.2</v>
      </c>
      <c r="L206" s="1924">
        <v>62.36</v>
      </c>
      <c r="M206" s="1109"/>
    </row>
    <row r="207" spans="1:14" ht="18" hidden="1" customHeight="1">
      <c r="B207" s="1107">
        <v>4</v>
      </c>
      <c r="C207" s="1109">
        <v>45.06</v>
      </c>
      <c r="D207" s="1109">
        <v>45.92</v>
      </c>
      <c r="E207" s="1924">
        <v>45.9</v>
      </c>
      <c r="F207" s="1109"/>
      <c r="I207" s="1107">
        <v>4</v>
      </c>
      <c r="J207" s="1109">
        <v>55.24</v>
      </c>
      <c r="K207" s="1109">
        <v>55.24</v>
      </c>
      <c r="L207" s="1924">
        <v>55.41</v>
      </c>
      <c r="M207" s="1109"/>
    </row>
    <row r="208" spans="1:14" ht="18" hidden="1" customHeight="1">
      <c r="A208" s="1110"/>
      <c r="B208" s="1927">
        <v>5</v>
      </c>
      <c r="C208" s="1925">
        <v>39.619999999999997</v>
      </c>
      <c r="D208" s="1925">
        <v>40.450000000000003</v>
      </c>
      <c r="E208" s="1925">
        <v>40.43</v>
      </c>
      <c r="F208" s="1925"/>
      <c r="G208" s="1926"/>
      <c r="H208" s="1926"/>
      <c r="I208" s="1927">
        <v>5</v>
      </c>
      <c r="J208" s="1925">
        <v>49.69</v>
      </c>
      <c r="K208" s="1925">
        <v>49.69</v>
      </c>
      <c r="L208" s="1925">
        <v>49.85</v>
      </c>
      <c r="M208" s="1925"/>
      <c r="N208" s="1926"/>
    </row>
    <row r="209" spans="1:12" s="839" customFormat="1" ht="18" hidden="1" customHeight="1">
      <c r="A209" s="1111">
        <v>42370</v>
      </c>
      <c r="B209" s="1113">
        <f>C209</f>
        <v>0</v>
      </c>
      <c r="C209" s="1113">
        <f>IF(J130&gt;0,VLOOKUP($J$130,B204:C208,2),0)</f>
        <v>0</v>
      </c>
      <c r="D209" s="1113">
        <f>IF(J130&gt;0,VLOOKUP($J$130,B204:D208,3),0)</f>
        <v>0</v>
      </c>
      <c r="E209" s="1113">
        <f>IF(J130&gt;0,VLOOKUP($J$130,B204:E208,4),0)</f>
        <v>0</v>
      </c>
      <c r="F209" s="137"/>
      <c r="G209" s="137"/>
      <c r="H209" s="1111">
        <v>42370</v>
      </c>
      <c r="I209" s="1113">
        <f>J209</f>
        <v>0</v>
      </c>
      <c r="J209" s="1113">
        <f>IF(J130&gt;0,VLOOKUP($J$130,I204:J208,2),0)</f>
        <v>0</v>
      </c>
      <c r="K209" s="1113">
        <f>IF(J130&gt;0,VLOOKUP($J$130,I204:K208,3),0)</f>
        <v>0</v>
      </c>
      <c r="L209" s="1113">
        <f>IF(J130&gt;0,VLOOKUP($J$130,I204:L208,4),0)</f>
        <v>0</v>
      </c>
    </row>
    <row r="210" spans="1:12" s="839" customFormat="1" ht="18" hidden="1" customHeight="1">
      <c r="A210" s="1111">
        <v>42736</v>
      </c>
      <c r="B210" s="1113">
        <f>D209</f>
        <v>0</v>
      </c>
      <c r="C210" s="1114">
        <f>VLOOKUP($E$3,A209:B211,2)</f>
        <v>0</v>
      </c>
      <c r="D210" s="1113"/>
      <c r="E210" s="137"/>
      <c r="F210" s="137"/>
      <c r="G210" s="137"/>
      <c r="H210" s="1111">
        <v>42736</v>
      </c>
      <c r="I210" s="1113">
        <f>K209</f>
        <v>0</v>
      </c>
      <c r="J210" s="1114">
        <f>VLOOKUP($E$3,H209:I211,2)</f>
        <v>0</v>
      </c>
      <c r="K210" s="1113"/>
    </row>
    <row r="211" spans="1:12" s="839" customFormat="1" ht="18" hidden="1" customHeight="1">
      <c r="A211" s="1111">
        <v>43101</v>
      </c>
      <c r="B211" s="1113">
        <f>E209</f>
        <v>0</v>
      </c>
      <c r="C211" s="1115">
        <f>IF(OR(C10="nein",D10="nein",Zusatzeingaben!C46="ja"),C210,J210)</f>
        <v>0</v>
      </c>
      <c r="D211" s="1113"/>
      <c r="E211" s="137"/>
      <c r="F211" s="137"/>
      <c r="G211" s="137"/>
      <c r="H211" s="1111">
        <v>43101</v>
      </c>
      <c r="I211" s="1113">
        <f>L209</f>
        <v>0</v>
      </c>
    </row>
    <row r="212" spans="1:12" s="839" customFormat="1" ht="18" hidden="1" customHeight="1">
      <c r="A212" s="1111">
        <v>43466</v>
      </c>
      <c r="B212" s="137"/>
      <c r="C212" s="137"/>
      <c r="D212" s="137"/>
      <c r="E212" s="137"/>
      <c r="F212" s="137"/>
      <c r="G212" s="137"/>
      <c r="H212" s="1111">
        <v>43466</v>
      </c>
      <c r="I212" s="137"/>
    </row>
    <row r="213" spans="1:12" s="839" customFormat="1" ht="18" hidden="1" customHeight="1">
      <c r="A213" s="327"/>
      <c r="B213" s="1149">
        <f>SUM(C213:I213)</f>
        <v>0</v>
      </c>
      <c r="C213" s="137">
        <f>IF(C10="nein",0,C47)</f>
        <v>0</v>
      </c>
      <c r="D213" s="137">
        <f>IF(D10="nein",0,D47)</f>
        <v>0</v>
      </c>
      <c r="E213" s="137">
        <f>IF(E130&gt;0,E47,0)</f>
        <v>0</v>
      </c>
      <c r="F213" s="137">
        <f t="shared" ref="F213:I213" si="31">IF(F130&gt;0,F47,0)</f>
        <v>0</v>
      </c>
      <c r="G213" s="137">
        <f t="shared" si="31"/>
        <v>0</v>
      </c>
      <c r="H213" s="137">
        <f t="shared" si="31"/>
        <v>0</v>
      </c>
      <c r="I213" s="137">
        <f t="shared" si="31"/>
        <v>0</v>
      </c>
    </row>
    <row r="214" spans="1:12" s="839" customFormat="1" ht="18" hidden="1" customHeight="1"/>
    <row r="215" spans="1:12" s="839" customFormat="1" ht="18" hidden="1" customHeight="1"/>
    <row r="216" spans="1:12" hidden="1">
      <c r="A216" s="608" t="s">
        <v>114</v>
      </c>
      <c r="B216" s="609"/>
      <c r="C216" s="327"/>
      <c r="D216" s="327"/>
      <c r="F216" s="216"/>
      <c r="G216" s="217"/>
      <c r="H216" s="217"/>
      <c r="I216" s="217"/>
    </row>
    <row r="217" spans="1:12" hidden="1">
      <c r="A217" s="327" t="s">
        <v>45</v>
      </c>
      <c r="B217" s="612">
        <f>IF(AND(C$58=0,C$54&lt;=100),0,IF(AND(C$58=0,C$54&lt;=1000),C$54-100,IF(AND(C$58=0,C$54&gt;1000),1000-100,IF(AND(C$58&gt;0,C$54+C$58&lt;=100),0,IF(AND(C$58&gt;0,C$58+C$54&lt;=1000),C$58+C$54-100,IF(AND(C$58&gt;0,C$58+C$54&gt;1000),1000-100))))))</f>
        <v>0</v>
      </c>
      <c r="C217" s="327" t="s">
        <v>28</v>
      </c>
      <c r="D217" s="137">
        <f>B217*20/100</f>
        <v>0</v>
      </c>
      <c r="F217" s="217"/>
      <c r="G217" s="217"/>
      <c r="H217" s="217"/>
      <c r="I217" s="215"/>
    </row>
    <row r="218" spans="1:12" hidden="1">
      <c r="A218" s="327" t="s">
        <v>159</v>
      </c>
      <c r="B218" s="137">
        <f>IF(C$54+C$58&lt;1000.01,0,IF(AND(C$54+C$58&gt;1000,C$54+C$58&lt;=1200),C$54+C$58-1000,IF(AND(C$54+C$58&gt;1200,C8="ja",C$54+C$58&lt;=1500),C$54+C$58-1000,IF(AND(C$54+C$58&gt;1200,C8="nein",C$54+C$58&lt;=1500),1200-1000,IF(AND(C$54+C$58&gt;=1500,C8="ja"),1500-1000,IF(AND(C$54+C$58&gt;1500,C8="nein"),1200-1000))))))</f>
        <v>0</v>
      </c>
      <c r="C218" s="327" t="s">
        <v>29</v>
      </c>
      <c r="D218" s="137">
        <f>B218*10/100</f>
        <v>0</v>
      </c>
      <c r="F218" s="217"/>
      <c r="G218" s="217"/>
      <c r="H218" s="217"/>
      <c r="I218" s="215"/>
    </row>
    <row r="219" spans="1:12" hidden="1">
      <c r="A219" s="610" t="s">
        <v>30</v>
      </c>
      <c r="B219" s="327"/>
      <c r="C219" s="327"/>
      <c r="D219" s="611">
        <f>SUM(D217:D218)</f>
        <v>0</v>
      </c>
      <c r="F219" s="217"/>
      <c r="G219" s="217"/>
      <c r="H219" s="217"/>
      <c r="I219" s="215"/>
    </row>
    <row r="220" spans="1:12" hidden="1">
      <c r="A220" s="327"/>
      <c r="B220" s="327"/>
      <c r="C220" s="327"/>
      <c r="D220" s="327"/>
      <c r="F220" s="217"/>
      <c r="G220" s="217"/>
      <c r="H220" s="217"/>
      <c r="I220" s="215"/>
    </row>
    <row r="221" spans="1:12" hidden="1">
      <c r="A221" s="608" t="s">
        <v>113</v>
      </c>
      <c r="B221" s="609"/>
      <c r="C221" s="327"/>
      <c r="D221" s="327"/>
      <c r="F221" s="217"/>
      <c r="G221" s="217"/>
      <c r="H221" s="217"/>
      <c r="I221" s="217"/>
    </row>
    <row r="222" spans="1:12" hidden="1">
      <c r="A222" s="327" t="s">
        <v>45</v>
      </c>
      <c r="B222" s="137">
        <f>IF(AND(D$58=0,D$54&lt;=100),0,IF(AND(D$58=0,D$54&lt;=1000),D$54-100,IF(AND(D$58=0,D$54&gt;1000),1000-100,IF(AND(D$58&gt;0,D$54+D$58&lt;=100),0,IF(AND(D$58&gt;0,D$58+D$54&lt;=1000),D$58+D$54-100,IF(AND(D$58&gt;0,D$58+D$54&gt;1000),1000-100))))))</f>
        <v>0</v>
      </c>
      <c r="C222" s="327" t="s">
        <v>28</v>
      </c>
      <c r="D222" s="137">
        <f>B222*20/100</f>
        <v>0</v>
      </c>
      <c r="F222" s="217"/>
      <c r="G222" s="217"/>
      <c r="H222" s="217"/>
      <c r="I222" s="215"/>
    </row>
    <row r="223" spans="1:12" hidden="1">
      <c r="A223" s="327" t="s">
        <v>159</v>
      </c>
      <c r="B223" s="137">
        <f>IF(D$54+D$58&lt;1000.01,0,IF(AND(D$54+D$58&gt;1000,D$54+D$58&lt;=1200),D$54+D$58-1000,IF(AND(D$54+D$58&gt;1200,D$8="ja",D$54+D$58&lt;=1500),D$54+D$58-1000,IF(AND(D$54+D$58&gt;1200,D$8="nein",D$54+D$58&lt;=1500),1200-1000,IF(AND(D$54+D$58&gt;=1500,D$8="ja"),1500-1000,IF(AND(D$54+D$58&gt;1500,D$8="nein"),1200-1000))))))</f>
        <v>0</v>
      </c>
      <c r="C223" s="327" t="s">
        <v>29</v>
      </c>
      <c r="D223" s="137">
        <f>B223*10/100</f>
        <v>0</v>
      </c>
      <c r="F223" s="217"/>
      <c r="G223" s="217"/>
      <c r="H223" s="217"/>
      <c r="I223" s="215"/>
    </row>
    <row r="224" spans="1:12" hidden="1">
      <c r="A224" s="610" t="s">
        <v>30</v>
      </c>
      <c r="B224" s="327"/>
      <c r="C224" s="327"/>
      <c r="D224" s="611">
        <f>SUM(D222:D223)</f>
        <v>0</v>
      </c>
      <c r="F224" s="217"/>
      <c r="G224" s="217"/>
      <c r="H224" s="217"/>
      <c r="I224" s="215"/>
    </row>
    <row r="225" spans="1:9" hidden="1">
      <c r="A225" s="327"/>
      <c r="B225" s="327"/>
      <c r="C225" s="327"/>
      <c r="D225" s="327"/>
      <c r="F225" s="217"/>
      <c r="G225" s="217"/>
      <c r="H225" s="217"/>
      <c r="I225" s="215"/>
    </row>
    <row r="226" spans="1:9" hidden="1">
      <c r="A226" s="608" t="s">
        <v>112</v>
      </c>
      <c r="B226" s="609"/>
      <c r="C226" s="327"/>
      <c r="D226" s="327"/>
      <c r="F226" s="217"/>
      <c r="G226" s="217"/>
      <c r="H226" s="217"/>
      <c r="I226" s="215"/>
    </row>
    <row r="227" spans="1:9" hidden="1">
      <c r="A227" s="327" t="s">
        <v>45</v>
      </c>
      <c r="B227" s="137">
        <f>IF(AND(E$58=0,E$54&lt;=100),0,IF(AND(E$58=0,E$54&lt;=1000),E$54-100,IF(AND(E$58=0,E$54&gt;1000),1000-100,IF(AND(E$58&gt;0,E$54+E$58&lt;=100),0,IF(AND(E$58&gt;0,E$58+E$54&lt;=1000),E$58+E$54-100,IF(AND(E$58&gt;0,E$58+E$54&gt;1000),1000-100))))))</f>
        <v>0</v>
      </c>
      <c r="C227" s="327" t="s">
        <v>28</v>
      </c>
      <c r="D227" s="137">
        <f>B227*20/100</f>
        <v>0</v>
      </c>
    </row>
    <row r="228" spans="1:9" hidden="1">
      <c r="A228" s="327" t="s">
        <v>159</v>
      </c>
      <c r="B228" s="137">
        <f>IF(E$54+E$58&lt;1000.01,0,IF(AND(E$54+E$58&gt;1000,E$54+E$58&lt;=1200),E$54+E$58-1000,IF(E$54+E$58&gt;1200,1200-1000,)))</f>
        <v>0</v>
      </c>
      <c r="C228" s="327" t="s">
        <v>29</v>
      </c>
      <c r="D228" s="137">
        <f>B228*10/100</f>
        <v>0</v>
      </c>
    </row>
    <row r="229" spans="1:9" hidden="1">
      <c r="A229" s="610" t="s">
        <v>30</v>
      </c>
      <c r="B229" s="327"/>
      <c r="C229" s="327"/>
      <c r="D229" s="611">
        <f>SUM(D227:D228)</f>
        <v>0</v>
      </c>
    </row>
    <row r="230" spans="1:9" hidden="1">
      <c r="A230" s="327"/>
      <c r="B230" s="327"/>
      <c r="C230" s="327"/>
      <c r="D230" s="327"/>
    </row>
    <row r="231" spans="1:9" hidden="1">
      <c r="A231" s="608" t="s">
        <v>111</v>
      </c>
      <c r="B231" s="609"/>
      <c r="C231" s="327"/>
      <c r="D231" s="327"/>
    </row>
    <row r="232" spans="1:9" hidden="1">
      <c r="A232" s="327" t="s">
        <v>45</v>
      </c>
      <c r="B232" s="137">
        <f>IF(AND(F$58=0,F$54&lt;=100),0,IF(AND(F$58=0,F$54&lt;=1000),F$54-100,IF(AND(F$58=0,F$54&gt;1000),1000-100,IF(AND(F$58&gt;0,F$54+F$58&lt;=100),0,IF(AND(F$58&gt;0,F$58+F$54&lt;=1000),F$58+F$54-100,IF(AND(F$58&gt;0,F$58+F$54&gt;1000),1000-100))))))</f>
        <v>0</v>
      </c>
      <c r="C232" s="327" t="s">
        <v>28</v>
      </c>
      <c r="D232" s="137">
        <f>B232*20/100</f>
        <v>0</v>
      </c>
    </row>
    <row r="233" spans="1:9" hidden="1">
      <c r="A233" s="327" t="s">
        <v>159</v>
      </c>
      <c r="B233" s="137">
        <f>IF(F$54+F$58&lt;1000.01,0,IF(AND(F$54+F$58&gt;1000,F$54+F$58&lt;=1200),F$54+F$58-1000,IF(F$54+F$58&gt;1200,1200-1000,)))</f>
        <v>0</v>
      </c>
      <c r="C233" s="327" t="s">
        <v>29</v>
      </c>
      <c r="D233" s="137">
        <f>B233*10/100</f>
        <v>0</v>
      </c>
    </row>
    <row r="234" spans="1:9" hidden="1">
      <c r="A234" s="610" t="s">
        <v>30</v>
      </c>
      <c r="B234" s="327"/>
      <c r="C234" s="327"/>
      <c r="D234" s="611">
        <f>SUM(D232:D233)</f>
        <v>0</v>
      </c>
    </row>
    <row r="235" spans="1:9" hidden="1">
      <c r="A235" s="327"/>
      <c r="B235" s="327"/>
      <c r="C235" s="327"/>
      <c r="D235" s="327"/>
    </row>
    <row r="236" spans="1:9" hidden="1">
      <c r="A236" s="608" t="s">
        <v>110</v>
      </c>
      <c r="B236" s="609"/>
      <c r="C236" s="327"/>
      <c r="D236" s="327"/>
    </row>
    <row r="237" spans="1:9" hidden="1">
      <c r="A237" s="327" t="s">
        <v>45</v>
      </c>
      <c r="B237" s="137">
        <f>IF(AND(G$58=0,G$54&lt;=100),0,IF(AND(G$58=0,G$54&lt;=1000),G$54-100,IF(AND(G$58=0,G$54&gt;1000),1000-100,IF(AND(G$58&gt;0,G$54+G$58&lt;=100),0,IF(AND(G$58&gt;0,G$58+G$54&lt;=1000),G$58+G$54-100,IF(AND(G$58&gt;0,G$58+G$54&gt;1000),1000-100))))))</f>
        <v>0</v>
      </c>
      <c r="C237" s="327" t="s">
        <v>28</v>
      </c>
      <c r="D237" s="137">
        <f>B237*20/100</f>
        <v>0</v>
      </c>
    </row>
    <row r="238" spans="1:9" hidden="1">
      <c r="A238" s="327" t="s">
        <v>159</v>
      </c>
      <c r="B238" s="137">
        <f>IF(G$54+G$58&lt;1000.01,0,IF(AND(G$54+G$58&gt;1000,G$54+G$58&lt;=1200),G$54+G$58-1000,IF(G$54+G$58&gt;1200,1200-1000,)))</f>
        <v>0</v>
      </c>
      <c r="C238" s="327" t="s">
        <v>29</v>
      </c>
      <c r="D238" s="137">
        <f>B238*10/100</f>
        <v>0</v>
      </c>
    </row>
    <row r="239" spans="1:9" hidden="1">
      <c r="A239" s="610" t="s">
        <v>30</v>
      </c>
      <c r="B239" s="327"/>
      <c r="C239" s="327"/>
      <c r="D239" s="611">
        <f>SUM(D237:D238)</f>
        <v>0</v>
      </c>
    </row>
    <row r="240" spans="1:9" hidden="1">
      <c r="A240" s="327"/>
      <c r="B240" s="327"/>
      <c r="C240" s="327"/>
      <c r="D240" s="327"/>
    </row>
    <row r="241" spans="1:4" hidden="1">
      <c r="A241" s="608" t="s">
        <v>108</v>
      </c>
      <c r="B241" s="609"/>
      <c r="C241" s="327"/>
      <c r="D241" s="327"/>
    </row>
    <row r="242" spans="1:4" hidden="1">
      <c r="A242" s="327" t="s">
        <v>45</v>
      </c>
      <c r="B242" s="137">
        <f>IF(AND(H$58=0,H$54&lt;=100),0,IF(AND(H$58=0,H$54&lt;=1000),H$54-100,IF(AND(H$58=0,H$54&gt;1000),1000-100,IF(AND(H$58&gt;0,H$54+H$58&lt;=100),0,IF(AND(H$58&gt;0,H$58+H$54&lt;=1000),H$58+H$54-100,IF(AND(H$58&gt;0,H$58+H$54&gt;1000),1000-100))))))</f>
        <v>0</v>
      </c>
      <c r="C242" s="327" t="s">
        <v>28</v>
      </c>
      <c r="D242" s="137">
        <f>B242*20/100</f>
        <v>0</v>
      </c>
    </row>
    <row r="243" spans="1:4" hidden="1">
      <c r="A243" s="327" t="s">
        <v>159</v>
      </c>
      <c r="B243" s="137">
        <f>IF(H$54+H$58&lt;1000.01,0,IF(AND(H$54+H$58&gt;1000,H$54+H$58&lt;=1200),H$54+H$58-1000,IF(H$54+H$58&gt;1200,1200-1000,)))</f>
        <v>0</v>
      </c>
      <c r="C243" s="327" t="s">
        <v>29</v>
      </c>
      <c r="D243" s="137">
        <f>B243*10/100</f>
        <v>0</v>
      </c>
    </row>
    <row r="244" spans="1:4" hidden="1">
      <c r="A244" s="610" t="s">
        <v>30</v>
      </c>
      <c r="B244" s="327"/>
      <c r="C244" s="327"/>
      <c r="D244" s="611">
        <f>SUM(D242:D243)</f>
        <v>0</v>
      </c>
    </row>
    <row r="245" spans="1:4" hidden="1">
      <c r="A245" s="327"/>
      <c r="B245" s="327"/>
      <c r="C245" s="327"/>
      <c r="D245" s="327"/>
    </row>
    <row r="246" spans="1:4" hidden="1">
      <c r="A246" s="608" t="s">
        <v>109</v>
      </c>
      <c r="B246" s="609"/>
      <c r="C246" s="327"/>
      <c r="D246" s="327"/>
    </row>
    <row r="247" spans="1:4" hidden="1">
      <c r="A247" s="327" t="s">
        <v>45</v>
      </c>
      <c r="B247" s="137">
        <f>IF(AND(I$58=0,I$54&lt;=100),0,IF(AND(I$58=0,I$54&lt;=1000),I$54-100,IF(AND(I$58=0,I$54&gt;1000),1000-100,IF(AND(I$58&gt;0,I$54+I$58&lt;=100),0,IF(AND(I$58&gt;0,I$58+I$54&lt;=1000),I$58+I$54-100,IF(AND(I$58&gt;0,I$58+I$54&gt;1000),1000-100))))))</f>
        <v>0</v>
      </c>
      <c r="C247" s="327" t="s">
        <v>28</v>
      </c>
      <c r="D247" s="137">
        <f>B247*20/100</f>
        <v>0</v>
      </c>
    </row>
    <row r="248" spans="1:4" hidden="1">
      <c r="A248" s="327" t="s">
        <v>159</v>
      </c>
      <c r="B248" s="137">
        <f>IF(I$54+I$58&lt;1000.01,0,IF(AND(I$54+I$58&gt;1000,I$54+I$58&lt;=1200),I$54+I$58-1000,IF(I$54+I$58&gt;1200,1200-1000,)))</f>
        <v>0</v>
      </c>
      <c r="C248" s="327" t="s">
        <v>29</v>
      </c>
      <c r="D248" s="137">
        <f>B248*10/100</f>
        <v>0</v>
      </c>
    </row>
    <row r="249" spans="1:4" hidden="1">
      <c r="A249" s="610" t="s">
        <v>30</v>
      </c>
      <c r="B249" s="327"/>
      <c r="C249" s="327"/>
      <c r="D249" s="611">
        <f>SUM(D247:D248)</f>
        <v>0</v>
      </c>
    </row>
    <row r="250" spans="1:4">
      <c r="A250" s="217"/>
      <c r="B250" s="219"/>
      <c r="C250" s="217"/>
      <c r="D250" s="217"/>
    </row>
    <row r="251" spans="1:4">
      <c r="A251" s="217"/>
      <c r="B251" s="215"/>
      <c r="C251" s="217"/>
      <c r="D251" s="215"/>
    </row>
    <row r="252" spans="1:4">
      <c r="A252" s="217"/>
      <c r="B252" s="215"/>
      <c r="C252" s="217"/>
      <c r="D252" s="215"/>
    </row>
    <row r="253" spans="1:4">
      <c r="A253" s="220"/>
      <c r="B253" s="217"/>
      <c r="C253" s="217"/>
      <c r="D253" s="215"/>
    </row>
    <row r="254" spans="1:4">
      <c r="A254" s="217"/>
      <c r="B254" s="217"/>
      <c r="C254" s="217"/>
      <c r="D254" s="217"/>
    </row>
    <row r="255" spans="1:4">
      <c r="A255" s="218"/>
      <c r="B255" s="216"/>
      <c r="C255" s="217"/>
      <c r="D255" s="217"/>
    </row>
    <row r="256" spans="1:4">
      <c r="A256" s="217"/>
      <c r="B256" s="215"/>
      <c r="C256" s="217"/>
      <c r="D256" s="215"/>
    </row>
    <row r="257" spans="1:4">
      <c r="A257" s="217"/>
      <c r="B257" s="215"/>
      <c r="C257" s="217"/>
      <c r="D257" s="215"/>
    </row>
    <row r="258" spans="1:4">
      <c r="A258" s="220"/>
      <c r="B258" s="217"/>
      <c r="C258" s="217"/>
      <c r="D258" s="215"/>
    </row>
    <row r="259" spans="1:4">
      <c r="A259" s="217"/>
      <c r="B259" s="217"/>
      <c r="C259" s="217"/>
      <c r="D259" s="217"/>
    </row>
    <row r="260" spans="1:4">
      <c r="A260" s="218"/>
      <c r="B260" s="216"/>
      <c r="C260" s="217"/>
      <c r="D260" s="217"/>
    </row>
    <row r="261" spans="1:4">
      <c r="A261" s="217"/>
      <c r="B261" s="215"/>
      <c r="C261" s="217"/>
      <c r="D261" s="215"/>
    </row>
    <row r="262" spans="1:4">
      <c r="A262" s="217"/>
      <c r="B262" s="215"/>
      <c r="C262" s="217"/>
      <c r="D262" s="215"/>
    </row>
    <row r="263" spans="1:4">
      <c r="A263" s="220"/>
      <c r="B263" s="217"/>
      <c r="C263" s="217"/>
      <c r="D263" s="215"/>
    </row>
    <row r="264" spans="1:4">
      <c r="A264" s="217"/>
      <c r="B264" s="217"/>
      <c r="C264" s="217"/>
      <c r="D264" s="217"/>
    </row>
    <row r="265" spans="1:4">
      <c r="A265" s="218"/>
      <c r="B265" s="216"/>
      <c r="C265" s="217"/>
      <c r="D265" s="217"/>
    </row>
    <row r="266" spans="1:4">
      <c r="A266" s="217"/>
      <c r="B266" s="215"/>
      <c r="C266" s="217"/>
      <c r="D266" s="215"/>
    </row>
    <row r="267" spans="1:4">
      <c r="A267" s="217"/>
      <c r="B267" s="215"/>
      <c r="C267" s="217"/>
      <c r="D267" s="215"/>
    </row>
    <row r="268" spans="1:4">
      <c r="A268" s="220"/>
      <c r="B268" s="217"/>
      <c r="C268" s="217"/>
      <c r="D268" s="215"/>
    </row>
  </sheetData>
  <mergeCells count="4">
    <mergeCell ref="B3:C3"/>
    <mergeCell ref="D193:I193"/>
    <mergeCell ref="A162:I162"/>
    <mergeCell ref="B163:C163"/>
  </mergeCells>
  <conditionalFormatting sqref="C131 D131:D132 D140:D145 C136:C145 E130:I132 D126:I127 A49 C7:I7 C13:I13 B3:C3 C49:I49 C21:I46 C14:C19 D15:I19 C10:I11 C111:I111 C113:I114 C94:I98 C100:I109 C73:I80 C89:I92 C116:I119 D137:I137 C82:I82 C84:I87 C147:I147 C54:I70">
    <cfRule type="cellIs" dxfId="159" priority="13" stopIfTrue="1" operator="equal">
      <formula>0</formula>
    </cfRule>
  </conditionalFormatting>
  <conditionalFormatting sqref="B21:B47 B144:B147 E148:I150 C47:I47 B50:C50 B13:B19 B49 B54:B119">
    <cfRule type="cellIs" dxfId="158" priority="14" stopIfTrue="1" operator="equal">
      <formula>0</formula>
    </cfRule>
  </conditionalFormatting>
  <conditionalFormatting sqref="A149">
    <cfRule type="cellIs" dxfId="157" priority="16" stopIfTrue="1" operator="equal">
      <formula>"Mehrbedarf nach § 27 (2) SGB II"</formula>
    </cfRule>
  </conditionalFormatting>
  <conditionalFormatting sqref="C149:D150">
    <cfRule type="cellIs" dxfId="156" priority="17" stopIfTrue="1" operator="notEqual">
      <formula>0</formula>
    </cfRule>
  </conditionalFormatting>
  <conditionalFormatting sqref="C160">
    <cfRule type="expression" dxfId="155" priority="18" stopIfTrue="1">
      <formula>$C$149&gt;0</formula>
    </cfRule>
  </conditionalFormatting>
  <conditionalFormatting sqref="A150">
    <cfRule type="cellIs" dxfId="154" priority="19" stopIfTrue="1" operator="equal">
      <formula>"./. Überschuss"</formula>
    </cfRule>
  </conditionalFormatting>
  <conditionalFormatting sqref="D160">
    <cfRule type="expression" dxfId="153" priority="20" stopIfTrue="1">
      <formula>$D$149&gt;0</formula>
    </cfRule>
  </conditionalFormatting>
  <conditionalFormatting sqref="C115:D115">
    <cfRule type="cellIs" dxfId="152" priority="12" stopIfTrue="1" operator="equal">
      <formula>0</formula>
    </cfRule>
  </conditionalFormatting>
  <conditionalFormatting sqref="E115:I115">
    <cfRule type="cellIs" dxfId="151" priority="11" stopIfTrue="1" operator="equal">
      <formula>0</formula>
    </cfRule>
  </conditionalFormatting>
  <conditionalFormatting sqref="C81:I81">
    <cfRule type="cellIs" dxfId="150" priority="10" stopIfTrue="1" operator="equal">
      <formula>0</formula>
    </cfRule>
  </conditionalFormatting>
  <conditionalFormatting sqref="C110:I110">
    <cfRule type="cellIs" dxfId="149" priority="9" stopIfTrue="1" operator="equal">
      <formula>0</formula>
    </cfRule>
  </conditionalFormatting>
  <conditionalFormatting sqref="C112:I112">
    <cfRule type="cellIs" dxfId="148" priority="8" stopIfTrue="1" operator="equal">
      <formula>0</formula>
    </cfRule>
  </conditionalFormatting>
  <conditionalFormatting sqref="C153:I156">
    <cfRule type="cellIs" dxfId="147" priority="6" stopIfTrue="1" operator="equal">
      <formula>0</formula>
    </cfRule>
  </conditionalFormatting>
  <conditionalFormatting sqref="B152:B157">
    <cfRule type="cellIs" dxfId="146" priority="7" stopIfTrue="1" operator="equal">
      <formula>0</formula>
    </cfRule>
  </conditionalFormatting>
  <conditionalFormatting sqref="A119">
    <cfRule type="expression" dxfId="145" priority="5">
      <formula>B119&gt;0</formula>
    </cfRule>
  </conditionalFormatting>
  <conditionalFormatting sqref="C146">
    <cfRule type="cellIs" dxfId="144" priority="4" stopIfTrue="1" operator="equal">
      <formula>0</formula>
    </cfRule>
  </conditionalFormatting>
  <conditionalFormatting sqref="D146">
    <cfRule type="cellIs" dxfId="143" priority="3" stopIfTrue="1" operator="equal">
      <formula>0</formula>
    </cfRule>
  </conditionalFormatting>
  <conditionalFormatting sqref="E146:I146">
    <cfRule type="cellIs" dxfId="142" priority="2" stopIfTrue="1" operator="equal">
      <formula>0</formula>
    </cfRule>
  </conditionalFormatting>
  <conditionalFormatting sqref="D193:I193">
    <cfRule type="cellIs" dxfId="141" priority="1" operator="notEqual">
      <formula>0</formula>
    </cfRule>
  </conditionalFormatting>
  <hyperlinks>
    <hyperlink ref="A161" location="Eingaben!A1" display="zurück"/>
  </hyperlinks>
  <pageMargins left="0.86614173228346458" right="7.874015748031496E-2" top="0.15748031496062992" bottom="0.11811023622047245" header="0.31496062992125984" footer="0.31496062992125984"/>
  <pageSetup paperSize="9" scale="65" orientation="portrait" horizontalDpi="4294967293" verticalDpi="4294967293" r:id="rId1"/>
</worksheet>
</file>

<file path=xl/worksheets/sheet6.xml><?xml version="1.0" encoding="utf-8"?>
<worksheet xmlns="http://schemas.openxmlformats.org/spreadsheetml/2006/main" xmlns:r="http://schemas.openxmlformats.org/officeDocument/2006/relationships">
  <dimension ref="A1:M38"/>
  <sheetViews>
    <sheetView showGridLines="0" showRowColHeaders="0" showZeros="0" zoomScale="120" zoomScaleNormal="120" workbookViewId="0">
      <selection activeCell="A2" sqref="A2:I2"/>
    </sheetView>
  </sheetViews>
  <sheetFormatPr baseColWidth="10" defaultRowHeight="12.75"/>
  <cols>
    <col min="1" max="1" width="23" customWidth="1"/>
    <col min="2" max="2" width="13.7109375" customWidth="1"/>
    <col min="3" max="9" width="12.7109375" customWidth="1"/>
  </cols>
  <sheetData>
    <row r="1" spans="1:13" ht="15" customHeight="1" thickBot="1"/>
    <row r="2" spans="1:13" ht="25.5">
      <c r="A2" s="2150" t="s">
        <v>219</v>
      </c>
      <c r="B2" s="2151"/>
      <c r="C2" s="2151"/>
      <c r="D2" s="2151"/>
      <c r="E2" s="2151"/>
      <c r="F2" s="2151"/>
      <c r="G2" s="2151"/>
      <c r="H2" s="2151"/>
      <c r="I2" s="2152"/>
    </row>
    <row r="3" spans="1:13" ht="40.5" customHeight="1">
      <c r="A3" s="733" t="s">
        <v>4</v>
      </c>
      <c r="B3" s="2148">
        <f>Zusatzeingaben!B2</f>
        <v>0</v>
      </c>
      <c r="C3" s="2149"/>
      <c r="D3" s="734" t="s">
        <v>33</v>
      </c>
      <c r="E3" s="749">
        <f>Zusatzeingaben!E2</f>
        <v>43344</v>
      </c>
      <c r="F3" s="735" t="s">
        <v>103</v>
      </c>
      <c r="G3" s="750">
        <f>IF(B5=TRUE,DATE(YEAR(E3),MONTH(E3),DAY(E3)+6*7-1),IF(B4=TRUE,EOMONTH(E3,2),0))</f>
        <v>43434</v>
      </c>
      <c r="H3" s="736"/>
      <c r="I3" s="737"/>
    </row>
    <row r="4" spans="1:13" ht="30" customHeight="1">
      <c r="A4" s="726" t="s">
        <v>230</v>
      </c>
      <c r="B4" s="725" t="b">
        <v>1</v>
      </c>
      <c r="C4" s="724" t="s">
        <v>231</v>
      </c>
      <c r="D4" s="723"/>
      <c r="E4" s="723"/>
      <c r="F4" s="723"/>
      <c r="G4" s="739"/>
      <c r="H4" s="723"/>
      <c r="I4" s="727"/>
    </row>
    <row r="5" spans="1:13" ht="30" customHeight="1" thickBot="1">
      <c r="A5" s="728"/>
      <c r="B5" s="729" t="b">
        <v>0</v>
      </c>
      <c r="C5" s="730" t="s">
        <v>232</v>
      </c>
      <c r="D5" s="731"/>
      <c r="E5" s="731"/>
      <c r="F5" s="731"/>
      <c r="G5" s="744">
        <f>DAY(G3)</f>
        <v>30</v>
      </c>
      <c r="H5" s="731"/>
      <c r="I5" s="732"/>
      <c r="K5" s="616"/>
    </row>
    <row r="6" spans="1:13" ht="42" customHeight="1" thickBot="1">
      <c r="A6" s="217"/>
      <c r="B6" s="688"/>
      <c r="C6" s="217"/>
      <c r="D6" s="217"/>
      <c r="E6" s="217"/>
      <c r="F6" s="217"/>
      <c r="G6" s="217"/>
      <c r="H6" s="217"/>
      <c r="I6" s="217"/>
      <c r="J6" s="675"/>
      <c r="M6" s="738"/>
    </row>
    <row r="7" spans="1:13" ht="30" customHeight="1">
      <c r="A7" s="689"/>
      <c r="B7" s="690" t="s">
        <v>1</v>
      </c>
      <c r="C7" s="690" t="str">
        <f>Zusatzeingaben!C4</f>
        <v>Antragsteller</v>
      </c>
      <c r="D7" s="690" t="str">
        <f>Zusatzeingaben!D4</f>
        <v>Partner(in)</v>
      </c>
      <c r="E7" s="690" t="str">
        <f>Zusatzeingaben!E4</f>
        <v>Kind 1</v>
      </c>
      <c r="F7" s="690" t="s">
        <v>8</v>
      </c>
      <c r="G7" s="690" t="s">
        <v>9</v>
      </c>
      <c r="H7" s="690" t="s">
        <v>10</v>
      </c>
      <c r="I7" s="691" t="s">
        <v>34</v>
      </c>
    </row>
    <row r="8" spans="1:13" s="677" customFormat="1" ht="30" customHeight="1">
      <c r="A8" s="692" t="s">
        <v>52</v>
      </c>
      <c r="B8" s="681"/>
      <c r="C8" s="704">
        <f>Berechnung!C11</f>
        <v>416</v>
      </c>
      <c r="D8" s="704">
        <f>Berechnung!D11</f>
        <v>0</v>
      </c>
      <c r="E8" s="704">
        <f>Berechnung!E11</f>
        <v>0</v>
      </c>
      <c r="F8" s="704">
        <f>Berechnung!F11</f>
        <v>0</v>
      </c>
      <c r="G8" s="704">
        <f>Berechnung!G11</f>
        <v>0</v>
      </c>
      <c r="H8" s="704">
        <f>Berechnung!H11</f>
        <v>0</v>
      </c>
      <c r="I8" s="705">
        <f>Berechnung!I11</f>
        <v>0</v>
      </c>
    </row>
    <row r="9" spans="1:13" ht="54.95" customHeight="1">
      <c r="A9" s="693" t="s">
        <v>227</v>
      </c>
      <c r="B9" s="706">
        <f>ROUND($A$38/2,0)</f>
        <v>205</v>
      </c>
      <c r="C9" s="682"/>
      <c r="D9" s="682"/>
      <c r="E9" s="682"/>
      <c r="F9" s="682"/>
      <c r="G9" s="682"/>
      <c r="H9" s="682"/>
      <c r="I9" s="694"/>
    </row>
    <row r="10" spans="1:13" ht="39.950000000000003" customHeight="1">
      <c r="A10" s="695" t="s">
        <v>221</v>
      </c>
      <c r="B10" s="62"/>
      <c r="C10" s="704">
        <f>IF(Berechnung!C155+Berechnung!C158&gt;C8,C8,Berechnung!C155+Berechnung!C158)</f>
        <v>0</v>
      </c>
      <c r="D10" s="704">
        <f>IF(Berechnung!D155+Berechnung!D158&gt;D8,D8,Berechnung!D155+Berechnung!D158)</f>
        <v>0</v>
      </c>
      <c r="E10" s="704">
        <f>IF(Berechnung!E155+Berechnung!E158&gt;E8,E8,Berechnung!E155+Berechnung!E158)</f>
        <v>0</v>
      </c>
      <c r="F10" s="704">
        <f>IF(Berechnung!F155+Berechnung!F158&gt;F8,F8,Berechnung!F155+Berechnung!F158)</f>
        <v>0</v>
      </c>
      <c r="G10" s="704">
        <f>IF(Berechnung!G155+Berechnung!G158&gt;G8,G8,Berechnung!G155+Berechnung!G158)</f>
        <v>0</v>
      </c>
      <c r="H10" s="704">
        <f>IF(Berechnung!H155+Berechnung!H158&gt;H8,H8,Berechnung!H155+Berechnung!H158)</f>
        <v>0</v>
      </c>
      <c r="I10" s="705">
        <f>IF(Berechnung!I155+Berechnung!I158&gt;I8,I8,Berechnung!I155+Berechnung!I158)</f>
        <v>0</v>
      </c>
    </row>
    <row r="11" spans="1:13" ht="30" customHeight="1">
      <c r="A11" s="697" t="s">
        <v>222</v>
      </c>
      <c r="B11" s="684"/>
      <c r="C11" s="707">
        <f>IF(C10&gt;0,C10/C8,0)</f>
        <v>0</v>
      </c>
      <c r="D11" s="707">
        <f t="shared" ref="D11:I11" si="0">IF(D10&gt;0,D10/D8,0)</f>
        <v>0</v>
      </c>
      <c r="E11" s="707">
        <f t="shared" si="0"/>
        <v>0</v>
      </c>
      <c r="F11" s="707">
        <f t="shared" si="0"/>
        <v>0</v>
      </c>
      <c r="G11" s="707">
        <f t="shared" si="0"/>
        <v>0</v>
      </c>
      <c r="H11" s="707">
        <f t="shared" si="0"/>
        <v>0</v>
      </c>
      <c r="I11" s="708">
        <f t="shared" si="0"/>
        <v>0</v>
      </c>
    </row>
    <row r="12" spans="1:13" ht="20.100000000000001" hidden="1" customHeight="1">
      <c r="A12" s="699"/>
      <c r="B12" s="429"/>
      <c r="C12" s="683">
        <f>C8*C11</f>
        <v>0</v>
      </c>
      <c r="D12" s="683">
        <f t="shared" ref="D12:I12" si="1">D8*D11</f>
        <v>0</v>
      </c>
      <c r="E12" s="683">
        <f t="shared" si="1"/>
        <v>0</v>
      </c>
      <c r="F12" s="683">
        <f t="shared" si="1"/>
        <v>0</v>
      </c>
      <c r="G12" s="683">
        <f t="shared" si="1"/>
        <v>0</v>
      </c>
      <c r="H12" s="683">
        <f t="shared" si="1"/>
        <v>0</v>
      </c>
      <c r="I12" s="696">
        <f t="shared" si="1"/>
        <v>0</v>
      </c>
    </row>
    <row r="13" spans="1:13" ht="30" customHeight="1">
      <c r="A13" s="699" t="s">
        <v>223</v>
      </c>
      <c r="B13" s="429"/>
      <c r="C13" s="683">
        <f>C8-C12</f>
        <v>416</v>
      </c>
      <c r="D13" s="683">
        <f t="shared" ref="D13:I13" si="2">D8-D12</f>
        <v>0</v>
      </c>
      <c r="E13" s="683">
        <f t="shared" si="2"/>
        <v>0</v>
      </c>
      <c r="F13" s="683">
        <f t="shared" si="2"/>
        <v>0</v>
      </c>
      <c r="G13" s="683">
        <f t="shared" si="2"/>
        <v>0</v>
      </c>
      <c r="H13" s="683">
        <f t="shared" si="2"/>
        <v>0</v>
      </c>
      <c r="I13" s="696">
        <f t="shared" si="2"/>
        <v>0</v>
      </c>
    </row>
    <row r="14" spans="1:13" ht="30" hidden="1" customHeight="1">
      <c r="A14" s="699"/>
      <c r="B14" s="429"/>
      <c r="C14" s="685">
        <f>IF(C11&gt;30%,30%,0)</f>
        <v>0</v>
      </c>
      <c r="D14" s="685">
        <f t="shared" ref="D14:I14" si="3">IF(D11&gt;30%,30%,0)</f>
        <v>0</v>
      </c>
      <c r="E14" s="685">
        <f t="shared" si="3"/>
        <v>0</v>
      </c>
      <c r="F14" s="685">
        <f t="shared" si="3"/>
        <v>0</v>
      </c>
      <c r="G14" s="685">
        <f t="shared" si="3"/>
        <v>0</v>
      </c>
      <c r="H14" s="685">
        <f t="shared" si="3"/>
        <v>0</v>
      </c>
      <c r="I14" s="698">
        <f t="shared" si="3"/>
        <v>0</v>
      </c>
    </row>
    <row r="15" spans="1:13" ht="30" customHeight="1">
      <c r="A15" s="699" t="s">
        <v>226</v>
      </c>
      <c r="B15" s="429"/>
      <c r="C15" s="707">
        <f>IF(C11&gt;30%,C11-C14,0)</f>
        <v>0</v>
      </c>
      <c r="D15" s="707">
        <f t="shared" ref="D15:I15" si="4">IF(D11&gt;30%,D11-D14,0)</f>
        <v>0</v>
      </c>
      <c r="E15" s="707">
        <f t="shared" si="4"/>
        <v>0</v>
      </c>
      <c r="F15" s="707">
        <f t="shared" si="4"/>
        <v>0</v>
      </c>
      <c r="G15" s="707">
        <f t="shared" si="4"/>
        <v>0</v>
      </c>
      <c r="H15" s="707">
        <f t="shared" si="4"/>
        <v>0</v>
      </c>
      <c r="I15" s="708">
        <f t="shared" si="4"/>
        <v>0</v>
      </c>
    </row>
    <row r="16" spans="1:13" ht="30" hidden="1" customHeight="1">
      <c r="A16" s="699"/>
      <c r="B16" s="429"/>
      <c r="C16" s="683">
        <f>IF(C15&lt;0,0,$A$38/2*C15)</f>
        <v>0</v>
      </c>
      <c r="D16" s="683">
        <f t="shared" ref="D16:I16" si="5">IF(D15&lt;0,0,$A$38/2*D15)</f>
        <v>0</v>
      </c>
      <c r="E16" s="683">
        <f t="shared" si="5"/>
        <v>0</v>
      </c>
      <c r="F16" s="683">
        <f t="shared" si="5"/>
        <v>0</v>
      </c>
      <c r="G16" s="683">
        <f t="shared" si="5"/>
        <v>0</v>
      </c>
      <c r="H16" s="683">
        <f t="shared" si="5"/>
        <v>0</v>
      </c>
      <c r="I16" s="696">
        <f t="shared" si="5"/>
        <v>0</v>
      </c>
    </row>
    <row r="17" spans="1:9" ht="30" customHeight="1">
      <c r="A17" s="700" t="s">
        <v>224</v>
      </c>
      <c r="B17" s="686"/>
      <c r="C17" s="687">
        <f>ROUNDUP(C16,0)</f>
        <v>0</v>
      </c>
      <c r="D17" s="687">
        <f t="shared" ref="D17:H17" si="6">ROUNDUP(D16,0)</f>
        <v>0</v>
      </c>
      <c r="E17" s="687">
        <f t="shared" si="6"/>
        <v>0</v>
      </c>
      <c r="F17" s="687">
        <f t="shared" si="6"/>
        <v>0</v>
      </c>
      <c r="G17" s="687">
        <f t="shared" si="6"/>
        <v>0</v>
      </c>
      <c r="H17" s="687">
        <f t="shared" si="6"/>
        <v>0</v>
      </c>
      <c r="I17" s="701">
        <f>ROUNDUP(I16,0)</f>
        <v>0</v>
      </c>
    </row>
    <row r="18" spans="1:9" ht="30" customHeight="1">
      <c r="A18" s="699" t="s">
        <v>225</v>
      </c>
      <c r="B18" s="429"/>
      <c r="C18" s="683">
        <f>C13+C17</f>
        <v>416</v>
      </c>
      <c r="D18" s="683">
        <f t="shared" ref="D18:I18" si="7">D13+D17</f>
        <v>0</v>
      </c>
      <c r="E18" s="683">
        <f t="shared" si="7"/>
        <v>0</v>
      </c>
      <c r="F18" s="683">
        <f t="shared" si="7"/>
        <v>0</v>
      </c>
      <c r="G18" s="683">
        <f t="shared" si="7"/>
        <v>0</v>
      </c>
      <c r="H18" s="683">
        <f t="shared" si="7"/>
        <v>0</v>
      </c>
      <c r="I18" s="696">
        <f t="shared" si="7"/>
        <v>0</v>
      </c>
    </row>
    <row r="19" spans="1:9" ht="35.1" customHeight="1">
      <c r="A19" s="702" t="s">
        <v>228</v>
      </c>
      <c r="B19" s="429"/>
      <c r="C19" s="683">
        <f>IF(OR(C18=0,C18&gt;$A$38/2),0,$A$38/2-C18)</f>
        <v>0</v>
      </c>
      <c r="D19" s="683">
        <f t="shared" ref="D19:I19" si="8">IF(OR(D18=0,D18&gt;$A$38/2),0,$A$38/2-D18)</f>
        <v>0</v>
      </c>
      <c r="E19" s="683">
        <f t="shared" si="8"/>
        <v>0</v>
      </c>
      <c r="F19" s="683">
        <f t="shared" si="8"/>
        <v>0</v>
      </c>
      <c r="G19" s="683">
        <f t="shared" si="8"/>
        <v>0</v>
      </c>
      <c r="H19" s="683">
        <f t="shared" si="8"/>
        <v>0</v>
      </c>
      <c r="I19" s="696">
        <f t="shared" si="8"/>
        <v>0</v>
      </c>
    </row>
    <row r="20" spans="1:9" ht="30" hidden="1" customHeight="1">
      <c r="A20" s="699"/>
      <c r="B20" s="429"/>
      <c r="C20" s="683">
        <f>C17+C19</f>
        <v>0</v>
      </c>
      <c r="D20" s="683">
        <f t="shared" ref="D20:I20" si="9">D17+D19</f>
        <v>0</v>
      </c>
      <c r="E20" s="683">
        <f t="shared" si="9"/>
        <v>0</v>
      </c>
      <c r="F20" s="683">
        <f t="shared" si="9"/>
        <v>0</v>
      </c>
      <c r="G20" s="683">
        <f t="shared" si="9"/>
        <v>0</v>
      </c>
      <c r="H20" s="683">
        <f t="shared" si="9"/>
        <v>0</v>
      </c>
      <c r="I20" s="696">
        <f t="shared" si="9"/>
        <v>0</v>
      </c>
    </row>
    <row r="21" spans="1:9" ht="50.1" customHeight="1">
      <c r="A21" s="742" t="s">
        <v>233</v>
      </c>
      <c r="B21" s="740">
        <f>SUM(C21:I21)</f>
        <v>0</v>
      </c>
      <c r="C21" s="741">
        <f>ROUNDUP(C20,0)</f>
        <v>0</v>
      </c>
      <c r="D21" s="741">
        <f t="shared" ref="D21:H21" si="10">ROUNDUP(D20,0)</f>
        <v>0</v>
      </c>
      <c r="E21" s="741">
        <f t="shared" si="10"/>
        <v>0</v>
      </c>
      <c r="F21" s="741">
        <f t="shared" si="10"/>
        <v>0</v>
      </c>
      <c r="G21" s="741">
        <f t="shared" si="10"/>
        <v>0</v>
      </c>
      <c r="H21" s="741">
        <f t="shared" si="10"/>
        <v>0</v>
      </c>
      <c r="I21" s="743">
        <f>ROUNDUP(I20,0)</f>
        <v>0</v>
      </c>
    </row>
    <row r="22" spans="1:9" ht="50.1" customHeight="1" thickBot="1">
      <c r="A22" s="745">
        <f>IF(B5=TRUE,"Gesamtgutscheinhöhe 5. und 6. Woche*",0)</f>
        <v>0</v>
      </c>
      <c r="B22" s="746">
        <f>SUM(C22:I22)</f>
        <v>0</v>
      </c>
      <c r="C22" s="747">
        <f>IF($B$5=TRUE,ROUNDUP(C21/30*$G$5,0),0)</f>
        <v>0</v>
      </c>
      <c r="D22" s="747">
        <f t="shared" ref="D22:I22" si="11">IF($B$5=TRUE,ROUNDUP(D21/30*$G$5,0),0)</f>
        <v>0</v>
      </c>
      <c r="E22" s="747">
        <f t="shared" si="11"/>
        <v>0</v>
      </c>
      <c r="F22" s="747">
        <f t="shared" si="11"/>
        <v>0</v>
      </c>
      <c r="G22" s="747">
        <f t="shared" si="11"/>
        <v>0</v>
      </c>
      <c r="H22" s="747">
        <f t="shared" si="11"/>
        <v>0</v>
      </c>
      <c r="I22" s="748">
        <f t="shared" si="11"/>
        <v>0</v>
      </c>
    </row>
    <row r="23" spans="1:9" ht="35.1" customHeight="1" thickBot="1">
      <c r="A23" s="678"/>
      <c r="B23" s="679"/>
      <c r="C23" s="680"/>
      <c r="D23" s="680"/>
      <c r="E23" s="680"/>
      <c r="F23" s="680"/>
      <c r="G23" s="680"/>
      <c r="H23" s="680"/>
      <c r="I23" s="680"/>
    </row>
    <row r="24" spans="1:9" ht="50.1" customHeight="1" thickBot="1">
      <c r="A24" s="703" t="s">
        <v>229</v>
      </c>
      <c r="B24" s="2153">
        <f>IF(AND(B21&gt;0,Zusatzeingaben!B7&gt;0),"Lebensmittelgutschein von Amts wegen",IF(B21&gt;0,"Lebensmittelgutschein auf Antrag",0))</f>
        <v>0</v>
      </c>
      <c r="C24" s="2154"/>
      <c r="D24" s="2155"/>
      <c r="E24" s="680"/>
      <c r="F24" s="680"/>
      <c r="G24" s="680"/>
      <c r="H24" s="680"/>
      <c r="I24" s="680"/>
    </row>
    <row r="25" spans="1:9" ht="20.100000000000001" customHeight="1"/>
    <row r="26" spans="1:9" ht="20.100000000000001" customHeight="1">
      <c r="A26" s="483" t="s">
        <v>270</v>
      </c>
    </row>
    <row r="27" spans="1:9" ht="20.100000000000001" customHeight="1"/>
    <row r="28" spans="1:9" ht="20.100000000000001" customHeight="1"/>
    <row r="29" spans="1:9" ht="15.75">
      <c r="C29" s="267"/>
      <c r="D29" s="267"/>
      <c r="E29" s="267"/>
      <c r="F29" s="267"/>
    </row>
    <row r="30" spans="1:9" ht="20.100000000000001" customHeight="1">
      <c r="A30" s="1163" t="s">
        <v>2245</v>
      </c>
      <c r="B30" s="674">
        <f ca="1">TODAY()</f>
        <v>43401</v>
      </c>
      <c r="C30" s="267"/>
      <c r="F30" s="267"/>
    </row>
    <row r="31" spans="1:9" ht="20.100000000000001" customHeight="1">
      <c r="A31" s="267"/>
      <c r="B31" s="267"/>
      <c r="C31" s="267"/>
      <c r="F31" s="267"/>
    </row>
    <row r="32" spans="1:9" ht="20.100000000000001" customHeight="1">
      <c r="A32" s="267" t="s">
        <v>220</v>
      </c>
      <c r="B32" s="267"/>
      <c r="C32" s="267"/>
      <c r="F32" s="267"/>
    </row>
    <row r="33" spans="1:6" ht="20.100000000000001" customHeight="1">
      <c r="A33" s="673"/>
      <c r="B33" s="673"/>
      <c r="C33" s="673"/>
      <c r="F33" s="267"/>
    </row>
    <row r="38" spans="1:6">
      <c r="A38" s="676">
        <f>VLOOKUP(E3,Bedarfssätze!B7:C17,2)</f>
        <v>409</v>
      </c>
    </row>
  </sheetData>
  <sheetProtection sheet="1" objects="1" scenarios="1"/>
  <mergeCells count="3">
    <mergeCell ref="B3:C3"/>
    <mergeCell ref="A2:I2"/>
    <mergeCell ref="B24:D24"/>
  </mergeCells>
  <conditionalFormatting sqref="B11:B20">
    <cfRule type="cellIs" dxfId="140" priority="5" stopIfTrue="1" operator="equal">
      <formula>0</formula>
    </cfRule>
  </conditionalFormatting>
  <conditionalFormatting sqref="B24">
    <cfRule type="cellIs" dxfId="139" priority="6" stopIfTrue="1" operator="notEqual">
      <formula>0</formula>
    </cfRule>
  </conditionalFormatting>
  <conditionalFormatting sqref="B23">
    <cfRule type="cellIs" dxfId="138" priority="7" stopIfTrue="1" operator="greaterThan">
      <formula>0</formula>
    </cfRule>
  </conditionalFormatting>
  <conditionalFormatting sqref="B3:C3">
    <cfRule type="cellIs" dxfId="137" priority="3" stopIfTrue="1" operator="equal">
      <formula>0</formula>
    </cfRule>
  </conditionalFormatting>
  <conditionalFormatting sqref="C23:I23 E24:I24">
    <cfRule type="cellIs" dxfId="136" priority="2" operator="greaterThan">
      <formula>0</formula>
    </cfRule>
  </conditionalFormatting>
  <conditionalFormatting sqref="A22:I22">
    <cfRule type="cellIs" dxfId="135" priority="1" operator="greaterThan">
      <formula>0</formula>
    </cfRule>
  </conditionalFormatting>
  <pageMargins left="0.70866141732283472" right="0.31496062992125984" top="0.59055118110236227" bottom="0.78740157480314965" header="0.31496062992125984" footer="0.31496062992125984"/>
  <pageSetup paperSize="9" scale="75" orientation="portrait" horizontalDpi="4294967293" verticalDpi="4294967293" r:id="rId1"/>
  <legacyDrawing r:id="rId2"/>
</worksheet>
</file>

<file path=xl/worksheets/sheet7.xml><?xml version="1.0" encoding="utf-8"?>
<worksheet xmlns="http://schemas.openxmlformats.org/spreadsheetml/2006/main" xmlns:r="http://schemas.openxmlformats.org/officeDocument/2006/relationships">
  <dimension ref="A1:H59"/>
  <sheetViews>
    <sheetView showGridLines="0" showZeros="0" topLeftCell="A22" zoomScale="120" zoomScaleNormal="120" workbookViewId="0">
      <selection activeCell="C33" sqref="C33"/>
    </sheetView>
  </sheetViews>
  <sheetFormatPr baseColWidth="10" defaultColWidth="11.42578125" defaultRowHeight="15.75"/>
  <cols>
    <col min="1" max="1" width="49.42578125" style="267" customWidth="1"/>
    <col min="2" max="2" width="10" style="267" customWidth="1"/>
    <col min="3" max="7" width="15.85546875" style="267" customWidth="1"/>
    <col min="8" max="16384" width="11.42578125" style="267"/>
  </cols>
  <sheetData>
    <row r="1" spans="1:7" ht="16.5" thickBot="1"/>
    <row r="2" spans="1:7" ht="28.5" customHeight="1">
      <c r="A2" s="2156" t="s">
        <v>283</v>
      </c>
      <c r="B2" s="2157"/>
      <c r="C2" s="2157"/>
      <c r="D2" s="2157"/>
      <c r="E2" s="2157"/>
      <c r="F2" s="2157"/>
      <c r="G2" s="2158"/>
    </row>
    <row r="3" spans="1:7">
      <c r="A3" s="174"/>
      <c r="B3" s="571"/>
      <c r="C3" s="571"/>
      <c r="D3" s="571"/>
      <c r="E3" s="571"/>
      <c r="F3" s="571"/>
      <c r="G3" s="831"/>
    </row>
    <row r="4" spans="1:7" ht="19.5" thickBot="1">
      <c r="A4" s="238" t="s">
        <v>4</v>
      </c>
      <c r="B4" s="2119">
        <f>Zusatzeingaben!B2</f>
        <v>0</v>
      </c>
      <c r="C4" s="2120"/>
      <c r="D4" s="239" t="s">
        <v>33</v>
      </c>
      <c r="E4" s="947">
        <f>Zusatzeingaben!E2</f>
        <v>43344</v>
      </c>
      <c r="F4" s="263" t="s">
        <v>103</v>
      </c>
      <c r="G4" s="948">
        <f>Zusatzeingaben!F2</f>
        <v>43373</v>
      </c>
    </row>
    <row r="5" spans="1:7" ht="17.25" thickBot="1">
      <c r="A5" s="243"/>
      <c r="B5" s="723"/>
      <c r="C5" s="723"/>
      <c r="D5" s="723"/>
      <c r="E5" s="723"/>
      <c r="F5" s="723"/>
      <c r="G5" s="727"/>
    </row>
    <row r="6" spans="1:7" ht="20.100000000000001" customHeight="1">
      <c r="A6" s="884"/>
      <c r="B6" s="900"/>
      <c r="C6" s="773" t="str">
        <f>Zusatzeingaben!C4</f>
        <v>Antragsteller</v>
      </c>
      <c r="D6" s="773" t="str">
        <f>Zusatzeingaben!D4</f>
        <v>Partner(in)</v>
      </c>
      <c r="E6" s="773" t="str">
        <f>Zusatzeingaben!E4</f>
        <v>Kind 1</v>
      </c>
      <c r="F6" s="773" t="s">
        <v>8</v>
      </c>
      <c r="G6" s="774" t="s">
        <v>9</v>
      </c>
    </row>
    <row r="7" spans="1:7" ht="20.100000000000001" customHeight="1">
      <c r="A7" s="757" t="s">
        <v>35</v>
      </c>
      <c r="B7" s="303"/>
      <c r="C7" s="301">
        <f>Zusatzeingaben!C6</f>
        <v>0</v>
      </c>
      <c r="D7" s="301">
        <f>Zusatzeingaben!D6</f>
        <v>0</v>
      </c>
      <c r="E7" s="301">
        <f>Zusatzeingaben!E6</f>
        <v>0</v>
      </c>
      <c r="F7" s="301">
        <f>Zusatzeingaben!F6</f>
        <v>0</v>
      </c>
      <c r="G7" s="302">
        <f>Zusatzeingaben!G6</f>
        <v>0</v>
      </c>
    </row>
    <row r="8" spans="1:7" ht="20.100000000000001" customHeight="1">
      <c r="A8" s="875" t="s">
        <v>3</v>
      </c>
      <c r="B8" s="876"/>
      <c r="C8" s="307">
        <f>Berechnung!C9</f>
        <v>0</v>
      </c>
      <c r="D8" s="307">
        <f>Berechnung!D9</f>
        <v>0</v>
      </c>
      <c r="E8" s="307">
        <f>Berechnung!E9</f>
        <v>0</v>
      </c>
      <c r="F8" s="307">
        <f>Berechnung!F9</f>
        <v>0</v>
      </c>
      <c r="G8" s="310">
        <f>Berechnung!G9</f>
        <v>0</v>
      </c>
    </row>
    <row r="9" spans="1:7" ht="20.100000000000001" customHeight="1">
      <c r="A9" s="757" t="s">
        <v>39</v>
      </c>
      <c r="B9" s="306"/>
      <c r="C9" s="949" t="str">
        <f>Berechnung!C10</f>
        <v>ja</v>
      </c>
      <c r="D9" s="307">
        <f>Berechnung!D10</f>
        <v>0</v>
      </c>
      <c r="E9" s="307">
        <f>Berechnung!E10</f>
        <v>0</v>
      </c>
      <c r="F9" s="307">
        <f>Berechnung!F10</f>
        <v>0</v>
      </c>
      <c r="G9" s="310">
        <f>Berechnung!G10</f>
        <v>0</v>
      </c>
    </row>
    <row r="10" spans="1:7" ht="20.100000000000001" customHeight="1" thickBot="1">
      <c r="A10" s="826" t="s">
        <v>185</v>
      </c>
      <c r="B10" s="34"/>
      <c r="C10" s="950" t="str">
        <f>Zusatzeingaben!C34</f>
        <v>ja</v>
      </c>
      <c r="D10" s="951" t="str">
        <f>Zusatzeingaben!D34</f>
        <v>ja</v>
      </c>
      <c r="E10" s="951" t="str">
        <f>Zusatzeingaben!E34</f>
        <v>ja</v>
      </c>
      <c r="F10" s="951" t="str">
        <f>Zusatzeingaben!F34</f>
        <v>ja</v>
      </c>
      <c r="G10" s="952" t="str">
        <f>Zusatzeingaben!G34</f>
        <v>ja</v>
      </c>
    </row>
    <row r="11" spans="1:7" ht="20.100000000000001" customHeight="1" thickBot="1">
      <c r="A11" s="174"/>
      <c r="B11" s="571"/>
      <c r="C11" s="883"/>
      <c r="D11" s="883"/>
      <c r="E11" s="883"/>
      <c r="F11" s="883"/>
      <c r="G11" s="885"/>
    </row>
    <row r="12" spans="1:7" ht="24.75" customHeight="1">
      <c r="A12" s="954" t="s">
        <v>276</v>
      </c>
      <c r="B12" s="887"/>
      <c r="C12" s="888"/>
      <c r="D12" s="888"/>
      <c r="E12" s="888"/>
      <c r="F12" s="888"/>
      <c r="G12" s="889"/>
    </row>
    <row r="13" spans="1:7" ht="20.100000000000001" customHeight="1">
      <c r="A13" s="901" t="s">
        <v>271</v>
      </c>
      <c r="B13" s="40"/>
      <c r="C13" s="21"/>
      <c r="D13" s="21"/>
      <c r="E13" s="21"/>
      <c r="F13" s="21"/>
      <c r="G13" s="88"/>
    </row>
    <row r="14" spans="1:7" ht="20.100000000000001" customHeight="1">
      <c r="A14" s="877" t="s">
        <v>277</v>
      </c>
      <c r="B14" s="962"/>
      <c r="C14" s="26"/>
      <c r="D14" s="129"/>
      <c r="E14" s="26"/>
      <c r="F14" s="26"/>
      <c r="G14" s="46"/>
    </row>
    <row r="15" spans="1:7" ht="20.100000000000001" customHeight="1">
      <c r="A15" s="878" t="s">
        <v>278</v>
      </c>
      <c r="B15" s="963"/>
      <c r="C15" s="26">
        <f>IF(Eingabetabelle!D71="Ja",Eingabetabelle!D70,0)</f>
        <v>0</v>
      </c>
      <c r="D15" s="26">
        <f>IF(Eingabetabelle!E71="Ja",Eingabetabelle!E70,0)</f>
        <v>0</v>
      </c>
      <c r="E15" s="26">
        <f>IF(Eingabetabelle!F71="Ja",Eingabetabelle!F70,0)</f>
        <v>0</v>
      </c>
      <c r="F15" s="26">
        <f>IF(Eingabetabelle!G71="Ja",Eingabetabelle!G70,0)</f>
        <v>0</v>
      </c>
      <c r="G15" s="26">
        <f>IF(Eingabetabelle!H71="Ja",Eingabetabelle!H70,0)</f>
        <v>0</v>
      </c>
    </row>
    <row r="16" spans="1:7" ht="20.100000000000001" hidden="1" customHeight="1">
      <c r="A16" s="878"/>
      <c r="B16" s="963"/>
      <c r="C16" s="890">
        <f>IF(C15&gt;0,C15,C14)</f>
        <v>0</v>
      </c>
      <c r="D16" s="890">
        <f t="shared" ref="D16:G16" si="0">IF(D15&gt;0,D15,D14)</f>
        <v>0</v>
      </c>
      <c r="E16" s="890">
        <f t="shared" si="0"/>
        <v>0</v>
      </c>
      <c r="F16" s="890">
        <f t="shared" si="0"/>
        <v>0</v>
      </c>
      <c r="G16" s="917">
        <f t="shared" si="0"/>
        <v>0</v>
      </c>
    </row>
    <row r="17" spans="1:8" ht="20.100000000000001" hidden="1" customHeight="1">
      <c r="A17" s="878"/>
      <c r="B17" s="964">
        <f>SUM(C17:G17)</f>
        <v>0</v>
      </c>
      <c r="C17" s="890">
        <f>IF(C15&gt;0,MIN(C14/2,C15),C14/2)</f>
        <v>0</v>
      </c>
      <c r="D17" s="890">
        <f t="shared" ref="D17:G17" si="1">IF(D15&gt;0,MIN(D14/2,D15),D14/2)</f>
        <v>0</v>
      </c>
      <c r="E17" s="890">
        <f t="shared" si="1"/>
        <v>0</v>
      </c>
      <c r="F17" s="890">
        <f t="shared" si="1"/>
        <v>0</v>
      </c>
      <c r="G17" s="890">
        <f t="shared" si="1"/>
        <v>0</v>
      </c>
    </row>
    <row r="18" spans="1:8" ht="20.100000000000001" hidden="1" customHeight="1">
      <c r="A18" s="878"/>
      <c r="B18" s="963"/>
      <c r="C18" s="907">
        <f>IF(C19&gt;0,MIN(VLOOKUP($E$4,Bedarfssätze!$B$129:'Bedarfssätze'!$H$133,7),C19),0)</f>
        <v>0</v>
      </c>
      <c r="D18" s="907">
        <f>IF(D19&gt;0,MIN(VLOOKUP($E$4,Bedarfssätze!$B$129:'Bedarfssätze'!$H$133,7),D19),0)</f>
        <v>0</v>
      </c>
      <c r="E18" s="907">
        <f>IF(E19&gt;0,MIN(VLOOKUP($E$4,Bedarfssätze!$B$129:'Bedarfssätze'!$H$133,7),E19),0)</f>
        <v>0</v>
      </c>
      <c r="F18" s="907">
        <f>IF(F19&gt;0,MIN(VLOOKUP($E$4,Bedarfssätze!$B$129:'Bedarfssätze'!$H$133,7),F19),0)</f>
        <v>0</v>
      </c>
      <c r="G18" s="907">
        <f>IF(G19&gt;0,MIN(VLOOKUP($E$4,Bedarfssätze!$B$129:'Bedarfssätze'!$H$133,7),G19),0)</f>
        <v>0</v>
      </c>
    </row>
    <row r="19" spans="1:8" ht="20.100000000000001" customHeight="1" thickBot="1">
      <c r="A19" s="880" t="s">
        <v>284</v>
      </c>
      <c r="B19" s="965">
        <f>SUM(C19:G19)</f>
        <v>0</v>
      </c>
      <c r="C19" s="39"/>
      <c r="D19" s="39"/>
      <c r="E19" s="39"/>
      <c r="F19" s="39"/>
      <c r="G19" s="96"/>
    </row>
    <row r="20" spans="1:8" ht="20.100000000000001" customHeight="1" thickBot="1">
      <c r="A20" s="881"/>
      <c r="B20" s="882"/>
      <c r="C20" s="622"/>
      <c r="D20" s="622"/>
      <c r="E20" s="622"/>
      <c r="F20" s="622"/>
      <c r="G20" s="953"/>
      <c r="H20" s="571"/>
    </row>
    <row r="21" spans="1:8" ht="20.100000000000001" customHeight="1">
      <c r="A21" s="902" t="s">
        <v>287</v>
      </c>
      <c r="B21" s="886"/>
      <c r="C21" s="2121" t="s">
        <v>303</v>
      </c>
      <c r="D21" s="2122"/>
      <c r="E21" s="2122"/>
      <c r="F21" s="2122"/>
      <c r="G21" s="2123"/>
      <c r="H21" s="571"/>
    </row>
    <row r="22" spans="1:8" ht="20.100000000000001" customHeight="1">
      <c r="A22" s="879" t="s">
        <v>291</v>
      </c>
      <c r="B22" s="962"/>
      <c r="C22" s="26"/>
      <c r="D22" s="26"/>
      <c r="E22" s="26"/>
      <c r="F22" s="26"/>
      <c r="G22" s="46"/>
      <c r="H22" s="571"/>
    </row>
    <row r="23" spans="1:8" ht="20.100000000000001" customHeight="1">
      <c r="A23" s="879" t="s">
        <v>292</v>
      </c>
      <c r="B23" s="962"/>
      <c r="C23" s="26">
        <f>IF(Zuschuss§26!D70="Nein",Zuschuss§26!D69,0)</f>
        <v>0</v>
      </c>
      <c r="D23" s="26">
        <f>IF(Zuschuss§26!E70="Nein",Zuschuss§26!E69,0)</f>
        <v>0</v>
      </c>
      <c r="E23" s="26">
        <f>IF(Zuschuss§26!F70="Nein",Zuschuss§26!F69,0)</f>
        <v>0</v>
      </c>
      <c r="F23" s="26">
        <f>IF(Zuschuss§26!G70="Nein",Zuschuss§26!G69,0)</f>
        <v>0</v>
      </c>
      <c r="G23" s="26">
        <f>IF(Zuschuss§26!H70="Nein",Zuschuss§26!H69,0)</f>
        <v>0</v>
      </c>
    </row>
    <row r="24" spans="1:8" ht="20.100000000000001" customHeight="1">
      <c r="A24" s="879" t="s">
        <v>294</v>
      </c>
      <c r="B24" s="966"/>
      <c r="C24" s="26"/>
      <c r="D24" s="26"/>
      <c r="E24" s="26"/>
      <c r="F24" s="26"/>
      <c r="G24" s="46"/>
    </row>
    <row r="25" spans="1:8" ht="20.100000000000001" customHeight="1">
      <c r="A25" s="877" t="s">
        <v>285</v>
      </c>
      <c r="B25" s="962"/>
      <c r="C25" s="26">
        <f>Eingabetabelle!D72</f>
        <v>0</v>
      </c>
      <c r="D25" s="26">
        <f>Eingabetabelle!E72</f>
        <v>0</v>
      </c>
      <c r="E25" s="26">
        <f>Eingabetabelle!F72</f>
        <v>0</v>
      </c>
      <c r="F25" s="26">
        <f>Eingabetabelle!G72</f>
        <v>0</v>
      </c>
      <c r="G25" s="26">
        <f>Eingabetabelle!H72</f>
        <v>0</v>
      </c>
    </row>
    <row r="26" spans="1:8" ht="20.100000000000001" customHeight="1" thickBot="1">
      <c r="A26" s="880" t="s">
        <v>295</v>
      </c>
      <c r="B26" s="967"/>
      <c r="C26" s="39"/>
      <c r="D26" s="39"/>
      <c r="E26" s="39"/>
      <c r="F26" s="39"/>
      <c r="G26" s="96"/>
    </row>
    <row r="27" spans="1:8" ht="20.100000000000001" hidden="1" customHeight="1">
      <c r="A27" s="327"/>
      <c r="B27" s="928">
        <f>SUM(C27:G27)</f>
        <v>0</v>
      </c>
      <c r="C27" s="927">
        <f>C17+C19+C49+C50+C56</f>
        <v>0</v>
      </c>
      <c r="D27" s="927">
        <f>D17+D19+D49+D50+D56</f>
        <v>0</v>
      </c>
      <c r="E27" s="927">
        <f>E17+E19+E49+E50+E56</f>
        <v>0</v>
      </c>
      <c r="F27" s="927">
        <f>F17+F19+F49+F50+F56</f>
        <v>0</v>
      </c>
      <c r="G27" s="927">
        <f>G17+G19+G49+G50+G56</f>
        <v>0</v>
      </c>
    </row>
    <row r="28" spans="1:8" ht="50.1" customHeight="1" thickBot="1"/>
    <row r="29" spans="1:8" ht="25.5">
      <c r="A29" s="2124" t="s">
        <v>298</v>
      </c>
      <c r="B29" s="2125"/>
      <c r="C29" s="2125"/>
      <c r="D29" s="2125"/>
      <c r="E29" s="2125"/>
      <c r="F29" s="2125"/>
      <c r="G29" s="2126"/>
    </row>
    <row r="30" spans="1:8" ht="20.100000000000001" customHeight="1">
      <c r="A30" s="899"/>
      <c r="B30" s="925"/>
      <c r="C30" s="874" t="str">
        <f>Zusatzeingaben!C4</f>
        <v>Antragsteller</v>
      </c>
      <c r="D30" s="874" t="str">
        <f>Zusatzeingaben!D4</f>
        <v>Partner(in)</v>
      </c>
      <c r="E30" s="874" t="str">
        <f>Zusatzeingaben!E4</f>
        <v>Kind 1</v>
      </c>
      <c r="F30" s="874" t="s">
        <v>8</v>
      </c>
      <c r="G30" s="892" t="s">
        <v>9</v>
      </c>
    </row>
    <row r="31" spans="1:8" ht="20.100000000000001" customHeight="1">
      <c r="A31" s="918" t="s">
        <v>271</v>
      </c>
      <c r="B31" s="930"/>
      <c r="C31" s="776"/>
      <c r="D31" s="919"/>
      <c r="E31" s="919"/>
      <c r="F31" s="919"/>
      <c r="G31" s="893"/>
    </row>
    <row r="32" spans="1:8" ht="20.100000000000001" customHeight="1">
      <c r="A32" s="924">
        <f>IF(B32&gt;0,"Bescheinigung Hilfebedürftigkeit für PKV",0)</f>
        <v>0</v>
      </c>
      <c r="B32" s="931">
        <f>COUNTIF(C32:G32,"halber Basistarif")</f>
        <v>0</v>
      </c>
      <c r="C32" s="916">
        <f>IF(AND(OR(C15=0,C15&gt;C14/2),C16&gt;0,C17&lt;=Z!$B$149*-1),"halber Basistarif",0)</f>
        <v>0</v>
      </c>
      <c r="D32" s="916">
        <f>IF(AND(OR(D15=0,D15&gt;D14/2),D16&gt;0,D17&lt;=Z!$B$149*-1),"halber Basistarif",0)</f>
        <v>0</v>
      </c>
      <c r="E32" s="916">
        <f>IF(AND(OR(E15=0,E15&gt;E14/2),E16&gt;0,E17&lt;=Z!$B$149*-1),"halber Basistarif",0)</f>
        <v>0</v>
      </c>
      <c r="F32" s="916">
        <f>IF(AND(OR(F15=0,F15&gt;F14/2),F16&gt;0,F17&lt;=Z!$B$149*-1),"halber Basistarif",0)</f>
        <v>0</v>
      </c>
      <c r="G32" s="926">
        <f>IF(AND(OR(G15=0,G15&gt;G14/2),G16&gt;0,G17&lt;=Z!$B$149*-1),"halber Basistarif",0)</f>
        <v>0</v>
      </c>
    </row>
    <row r="33" spans="1:8" ht="20.100000000000001" customHeight="1">
      <c r="A33" s="920" t="s">
        <v>279</v>
      </c>
      <c r="B33" s="932"/>
      <c r="C33" s="469">
        <f>IF(Z!$B$149*-1&lt;$B$17,C14/2,0)</f>
        <v>0</v>
      </c>
      <c r="D33" s="469">
        <f>IF(Z!$B$149*-1&lt;$B$17,D14/2,0)</f>
        <v>0</v>
      </c>
      <c r="E33" s="469">
        <f>IF(Z!$B$149*-1&lt;$B$17,E14/2,0)</f>
        <v>0</v>
      </c>
      <c r="F33" s="469">
        <f>IF(Z!$B$149*-1&lt;$B$17,F14/2,0)</f>
        <v>0</v>
      </c>
      <c r="G33" s="470">
        <f>IF(Z!$B$149*-1&lt;$B$17,G14/2,0)</f>
        <v>0</v>
      </c>
    </row>
    <row r="34" spans="1:8" ht="20.100000000000001" customHeight="1">
      <c r="A34" s="757" t="s">
        <v>278</v>
      </c>
      <c r="B34" s="933"/>
      <c r="C34" s="469">
        <f>IF(Z!$B$149*-1&lt;$B$17,C15,0)</f>
        <v>0</v>
      </c>
      <c r="D34" s="469">
        <f>IF(Z!$B$149*-1&lt;$B$17,D15,0)</f>
        <v>0</v>
      </c>
      <c r="E34" s="469">
        <f>IF(Z!$B$149*-1&lt;$B$17,E15,0)</f>
        <v>0</v>
      </c>
      <c r="F34" s="469">
        <f>IF(Z!$B$149*-1&lt;$B$17,F15,0)</f>
        <v>0</v>
      </c>
      <c r="G34" s="470">
        <f>IF(Z!$B$149*-1&lt;$B$17,G15,0)</f>
        <v>0</v>
      </c>
    </row>
    <row r="35" spans="1:8" ht="20.100000000000001" customHeight="1">
      <c r="A35" s="757" t="s">
        <v>280</v>
      </c>
      <c r="B35" s="934">
        <f>COUNTIF(C35:G35,"&gt;0")</f>
        <v>0</v>
      </c>
      <c r="C35" s="295">
        <f t="shared" ref="C35:G35" si="2">IF(AND(C34&gt;0,C34&lt;C33),C34,C33)</f>
        <v>0</v>
      </c>
      <c r="D35" s="295">
        <f t="shared" si="2"/>
        <v>0</v>
      </c>
      <c r="E35" s="295">
        <f t="shared" si="2"/>
        <v>0</v>
      </c>
      <c r="F35" s="295">
        <f t="shared" si="2"/>
        <v>0</v>
      </c>
      <c r="G35" s="296">
        <f t="shared" si="2"/>
        <v>0</v>
      </c>
    </row>
    <row r="36" spans="1:8" ht="20.100000000000001" customHeight="1">
      <c r="A36" s="757">
        <f>IF(B36&gt;0,"Einkommensüberschuss",0)</f>
        <v>0</v>
      </c>
      <c r="B36" s="934">
        <f>COUNTIF(C36:G36,"&gt;0")</f>
        <v>0</v>
      </c>
      <c r="C36" s="295">
        <f>IF(AND(C17&gt;0,$B$35=1,Z!$B$149&lt;0),Z!$B$149*-1,IF(AND(C17&gt;0,$B$35&gt;1,Z!$B$149&lt;0),Z!C149*-1,0))</f>
        <v>0</v>
      </c>
      <c r="D36" s="295">
        <f>IF(AND(D17&gt;0,$B$35=1,Z!$B$149&lt;0),Z!$B$149*-1,IF(AND(D17&gt;0,$B$35&gt;1,Z!$B$149&lt;0),Z!D149*-1,0))</f>
        <v>0</v>
      </c>
      <c r="E36" s="295">
        <f>IF(AND(E17&gt;0,$B$35=1,Z!$B$149&lt;0),Z!$B$149*-1,IF(AND(E17&gt;0,$B$35&gt;1,Z!$B$149&lt;0),Z!E149*-1,0))</f>
        <v>0</v>
      </c>
      <c r="F36" s="295">
        <f>IF(AND(F17&gt;0,$B$35=1,Z!$B$149&lt;0),Z!$B$149*-1,IF(AND(F17&gt;0,$B$35&gt;1,Z!$B$149&lt;0),Z!F149*-1,0))</f>
        <v>0</v>
      </c>
      <c r="G36" s="296">
        <f>IF(AND(G17&gt;0,$B$35=1,Z!$B$149&lt;0),Z!$B$149*-1,IF(AND(G17&gt;0,$B$35&gt;1,Z!$B$149&lt;0),Z!G149*-1,0))</f>
        <v>0</v>
      </c>
    </row>
    <row r="37" spans="1:8" ht="24.95" customHeight="1">
      <c r="A37" s="922" t="s">
        <v>300</v>
      </c>
      <c r="B37" s="934"/>
      <c r="C37" s="955">
        <f>IF(AND(C17&gt;0,C9="nein"),"nein",IF(C36&gt;0,C35-C36,C35))</f>
        <v>0</v>
      </c>
      <c r="D37" s="955">
        <f t="shared" ref="D37:G37" si="3">IF(AND(D17&gt;0,D9="nein"),"nein",IF(D36&gt;0,D35-D36,D35))</f>
        <v>0</v>
      </c>
      <c r="E37" s="955">
        <f t="shared" si="3"/>
        <v>0</v>
      </c>
      <c r="F37" s="955">
        <f t="shared" si="3"/>
        <v>0</v>
      </c>
      <c r="G37" s="960">
        <f t="shared" si="3"/>
        <v>0</v>
      </c>
    </row>
    <row r="38" spans="1:8" ht="20.100000000000001" customHeight="1">
      <c r="A38" s="174"/>
      <c r="B38" s="935"/>
      <c r="C38" s="895"/>
      <c r="D38" s="895"/>
      <c r="E38" s="895"/>
      <c r="F38" s="895"/>
      <c r="G38" s="896"/>
      <c r="H38" s="571"/>
    </row>
    <row r="39" spans="1:8" ht="20.100000000000001" customHeight="1">
      <c r="A39" s="903" t="s">
        <v>281</v>
      </c>
      <c r="B39" s="936"/>
      <c r="C39" s="898"/>
      <c r="D39" s="898"/>
      <c r="E39" s="898"/>
      <c r="F39" s="898"/>
      <c r="G39" s="897"/>
    </row>
    <row r="40" spans="1:8" ht="20.100000000000001" customHeight="1">
      <c r="A40" s="877" t="s">
        <v>282</v>
      </c>
      <c r="B40" s="934"/>
      <c r="C40" s="295">
        <f>IF(AND(C19&gt;0,Z!$B$149*-1&lt;$B$17+$B$19),VLOOKUP($E$4,Bedarfssätze!$B$129:'Bedarfssätze'!$H$133,7),0)</f>
        <v>0</v>
      </c>
      <c r="D40" s="295">
        <f>IF(AND(D19&gt;0,Z!$B$149*-1&lt;$B$17+$B$19),VLOOKUP($E$4,Bedarfssätze!$B$129:'Bedarfssätze'!$H$133,7),0)</f>
        <v>0</v>
      </c>
      <c r="E40" s="295">
        <f>IF(AND(E19&gt;0,Z!$B$149*-1&lt;$B$17+$B$19),VLOOKUP($E$4,Bedarfssätze!$B$129:'Bedarfssätze'!$H$133,7),0)</f>
        <v>0</v>
      </c>
      <c r="F40" s="295">
        <f>IF(AND(F19&gt;0,Z!$B$149*-1&lt;$B$17+$B$19),VLOOKUP($E$4,Bedarfssätze!$B$129:'Bedarfssätze'!$H$133,7),0)</f>
        <v>0</v>
      </c>
      <c r="G40" s="296">
        <f>IF(AND(G19&gt;0,Z!$B$149*-1&lt;$B$17+$B$19),VLOOKUP($E$4,Bedarfssätze!$B$129:'Bedarfssätze'!$H$133,7),0)</f>
        <v>0</v>
      </c>
    </row>
    <row r="41" spans="1:8" ht="20.100000000000001" customHeight="1">
      <c r="A41" s="877" t="s">
        <v>302</v>
      </c>
      <c r="B41" s="934"/>
      <c r="C41" s="295">
        <f>IF(Z!$B$149*-1&lt;$B$17+$B$19,C19,0)</f>
        <v>0</v>
      </c>
      <c r="D41" s="295">
        <f>IF(Z!$B$149*-1&lt;$B$17+$B$19,D19,0)</f>
        <v>0</v>
      </c>
      <c r="E41" s="295">
        <f>IF(Z!$B$149*-1&lt;$B$17+$B$19,E19,0)</f>
        <v>0</v>
      </c>
      <c r="F41" s="295">
        <f>IF(Z!$B$149*-1&lt;$B$17+$B$19,F19,0)</f>
        <v>0</v>
      </c>
      <c r="G41" s="296">
        <f>IF(Z!$B$149*-1&lt;$B$17+$B$19,G19,0)</f>
        <v>0</v>
      </c>
    </row>
    <row r="42" spans="1:8" ht="20.100000000000001" customHeight="1">
      <c r="A42" s="877" t="s">
        <v>280</v>
      </c>
      <c r="B42" s="934">
        <f t="shared" ref="B42:B44" si="4">COUNTIF(C42:G42,"&gt;0")</f>
        <v>0</v>
      </c>
      <c r="C42" s="295">
        <f>MIN(C40,C41)</f>
        <v>0</v>
      </c>
      <c r="D42" s="295">
        <f t="shared" ref="D42:G42" si="5">MIN(D40,D41)</f>
        <v>0</v>
      </c>
      <c r="E42" s="295">
        <f t="shared" si="5"/>
        <v>0</v>
      </c>
      <c r="F42" s="295">
        <f t="shared" si="5"/>
        <v>0</v>
      </c>
      <c r="G42" s="296">
        <f t="shared" si="5"/>
        <v>0</v>
      </c>
    </row>
    <row r="43" spans="1:8" ht="20.100000000000001" hidden="1" customHeight="1">
      <c r="A43" s="923">
        <f>IF(B43&gt;0,"Einkommensüberschuss",0)</f>
        <v>0</v>
      </c>
      <c r="B43" s="934">
        <f t="shared" si="4"/>
        <v>0</v>
      </c>
      <c r="C43" s="295">
        <f>IF(AND(C19&gt;0,$B$42=1,Z!$B$149&lt;0,Z!C149*-1&lt;&gt;C36),Z!$B$149*-1-C17,IF(AND(C19&gt;0,$B$42&gt;1,Z!$B$149&lt;0,Z!C149*-1&lt;&gt;C36),Z!C149*-1-C17,0))</f>
        <v>0</v>
      </c>
      <c r="D43" s="295">
        <f>IF(AND(D19&gt;0,$B$42=1,Z!$B$149&lt;0,Z!D149*-1&lt;&gt;D36),Z!$B$149*-1-D17,IF(AND(D19&gt;0,$B$42&gt;1,Z!$B$149&lt;0,Z!D149*-1&lt;&gt;D36),Z!D149*-1-D17,0))</f>
        <v>0</v>
      </c>
      <c r="E43" s="295">
        <f>IF(AND(E19&gt;0,$B$42=1,Z!$B$149&lt;0,Z!E149*-1&lt;&gt;E36),Z!$B$149*-1-E17,IF(AND(E19&gt;0,$B$42&gt;1,Z!$B$149&lt;0,Z!E149*-1&lt;&gt;E36),Z!E149*-1-E17,0))</f>
        <v>0</v>
      </c>
      <c r="F43" s="295">
        <f>IF(AND(F19&gt;0,$B$42=1,Z!$B$149&lt;0,Z!F149*-1&lt;&gt;F36),Z!$B$149*-1-F17,IF(AND(F19&gt;0,$B$42&gt;1,Z!$B$149&lt;0,Z!F149*-1&lt;&gt;F36),Z!F149*-1-F17,0))</f>
        <v>0</v>
      </c>
      <c r="G43" s="296">
        <f>IF(AND(G19&gt;0,$B$42=1,Z!$B$149&lt;0,Z!G149*-1&lt;&gt;G36),Z!$B$149*-1-G17,IF(AND(G19&gt;0,$B$42&gt;1,Z!$B$149&lt;0,Z!G149*-1&lt;&gt;G36),Z!G149*-1-G17,0))</f>
        <v>0</v>
      </c>
    </row>
    <row r="44" spans="1:8" ht="20.100000000000001" customHeight="1">
      <c r="A44" s="923">
        <f>IF(B44&gt;0,"Einkommensüberschuss",0)</f>
        <v>0</v>
      </c>
      <c r="B44" s="934">
        <f t="shared" si="4"/>
        <v>0</v>
      </c>
      <c r="C44" s="822">
        <f>IF(C43&lt;0,0,C43)</f>
        <v>0</v>
      </c>
      <c r="D44" s="822">
        <f t="shared" ref="D44:G44" si="6">IF(D43&lt;0,0,D43)</f>
        <v>0</v>
      </c>
      <c r="E44" s="822">
        <f t="shared" si="6"/>
        <v>0</v>
      </c>
      <c r="F44" s="822">
        <f t="shared" si="6"/>
        <v>0</v>
      </c>
      <c r="G44" s="968">
        <f t="shared" si="6"/>
        <v>0</v>
      </c>
    </row>
    <row r="45" spans="1:8" ht="24.95" customHeight="1" thickBot="1">
      <c r="A45" s="906" t="s">
        <v>301</v>
      </c>
      <c r="B45" s="937"/>
      <c r="C45" s="956">
        <f>IF(AND(C19&gt;0,C9="nein"),"nein",IF(C44&gt;0,C42-C44,C42))</f>
        <v>0</v>
      </c>
      <c r="D45" s="956">
        <f t="shared" ref="D45:G45" si="7">IF(AND(D19&gt;0,D9="nein"),"nein",IF(D44&gt;0,D42-D44,D42))</f>
        <v>0</v>
      </c>
      <c r="E45" s="956">
        <f t="shared" si="7"/>
        <v>0</v>
      </c>
      <c r="F45" s="956">
        <f t="shared" si="7"/>
        <v>0</v>
      </c>
      <c r="G45" s="959">
        <f t="shared" si="7"/>
        <v>0</v>
      </c>
    </row>
    <row r="46" spans="1:8" ht="29.25" customHeight="1" thickBot="1">
      <c r="A46" s="945"/>
      <c r="B46" s="946"/>
      <c r="C46" s="2127" t="s">
        <v>304</v>
      </c>
      <c r="D46" s="2128"/>
      <c r="E46" s="2128"/>
      <c r="F46" s="2128"/>
      <c r="G46" s="2129"/>
      <c r="H46" s="571"/>
    </row>
    <row r="47" spans="1:8" ht="20.100000000000001" customHeight="1">
      <c r="A47" s="909" t="s">
        <v>287</v>
      </c>
      <c r="B47" s="938"/>
      <c r="C47" s="905"/>
      <c r="D47" s="905"/>
      <c r="E47" s="905"/>
      <c r="F47" s="905"/>
      <c r="G47" s="913"/>
    </row>
    <row r="48" spans="1:8" ht="20.100000000000001" customHeight="1">
      <c r="A48" s="914">
        <f>IF(B48&gt;0,"Zuschuss nach § 26 nicht möglich, da ALG II Bezug",0)</f>
        <v>0</v>
      </c>
      <c r="B48" s="939">
        <f>COUNTIF(C48:G48,"Hinweis")</f>
        <v>0</v>
      </c>
      <c r="C48" s="908">
        <f>IF(AND(C22+C23&gt;0,Z!$B$149&gt;0,C10="ja"),"Hinweis",0)</f>
        <v>0</v>
      </c>
      <c r="D48" s="908">
        <f>IF(AND(D22+D23&gt;0,Z!$B$149&gt;0,D10="ja"),"Hinweis",0)</f>
        <v>0</v>
      </c>
      <c r="E48" s="908">
        <f>IF(AND(E22+E23&gt;0,Z!$B$149&gt;0,E10="ja"),"Hinweis",0)</f>
        <v>0</v>
      </c>
      <c r="F48" s="908">
        <f>IF(AND(F22+F23&gt;0,Z!$B$149&gt;0,F10="ja"),"Hinweis",0)</f>
        <v>0</v>
      </c>
      <c r="G48" s="929">
        <f>IF(AND(G22+G23&gt;0,Z!$B$149&gt;0,G10="ja"),"Hinweis",0)</f>
        <v>0</v>
      </c>
    </row>
    <row r="49" spans="1:7" ht="20.100000000000001" customHeight="1">
      <c r="A49" s="757" t="s">
        <v>289</v>
      </c>
      <c r="B49" s="934">
        <f t="shared" ref="B49:B50" si="8">COUNTIF(C49:G49,"&gt;0")</f>
        <v>0</v>
      </c>
      <c r="C49" s="295">
        <f>IF(C22&gt;0,C22-C24,0)</f>
        <v>0</v>
      </c>
      <c r="D49" s="295">
        <f t="shared" ref="D49:G49" si="9">IF(D22&gt;0,D22-D24,0)</f>
        <v>0</v>
      </c>
      <c r="E49" s="295">
        <f t="shared" si="9"/>
        <v>0</v>
      </c>
      <c r="F49" s="295">
        <f t="shared" si="9"/>
        <v>0</v>
      </c>
      <c r="G49" s="296">
        <f t="shared" si="9"/>
        <v>0</v>
      </c>
    </row>
    <row r="50" spans="1:7" ht="20.100000000000001" customHeight="1">
      <c r="A50" s="757" t="s">
        <v>288</v>
      </c>
      <c r="B50" s="934">
        <f t="shared" si="8"/>
        <v>0</v>
      </c>
      <c r="C50" s="295">
        <f>IF(C23&gt;0,C23-C24,0)</f>
        <v>0</v>
      </c>
      <c r="D50" s="295">
        <f t="shared" ref="D50:G50" si="10">IF(D23&gt;0,D23-D24,0)</f>
        <v>0</v>
      </c>
      <c r="E50" s="295">
        <f t="shared" si="10"/>
        <v>0</v>
      </c>
      <c r="F50" s="295">
        <f t="shared" si="10"/>
        <v>0</v>
      </c>
      <c r="G50" s="296">
        <f t="shared" si="10"/>
        <v>0</v>
      </c>
    </row>
    <row r="51" spans="1:7" ht="20.100000000000001" customHeight="1">
      <c r="A51" s="757">
        <f>IF(B51&gt;0,"./. vom Einkommen abzusetzender Betrag",0)</f>
        <v>0</v>
      </c>
      <c r="B51" s="961">
        <f>SUM(C51:G51)</f>
        <v>0</v>
      </c>
      <c r="C51" s="62">
        <f>IF(AND(C50&gt;0,Z!$B$149&gt;0,Z!C70&gt;0),C50,IF(AND(Z!C70&gt;0,C50&gt;0,Z!$B$149&lt;0),MIN(Z!$B$149*-1-C57,C50),0))</f>
        <v>0</v>
      </c>
      <c r="D51" s="62">
        <f>IF(AND(D50&gt;0,Z!$B$149&gt;0,Z!D70&gt;0),D50,IF(AND(Z!D70&gt;0,D50&gt;0,Z!$B$149&lt;0),MIN(Z!$B$149*-1-D57,D50),0))</f>
        <v>0</v>
      </c>
      <c r="E51" s="62">
        <f>IF(AND(E50&gt;0,Z!$B$149&gt;0,Z!E70&gt;0),E50,IF(AND(Z!E70&gt;0,E50&gt;0,Z!$B$149&lt;0),MIN(Z!$B$149*-1-E57,E50),0))</f>
        <v>0</v>
      </c>
      <c r="F51" s="62">
        <f>IF(AND(F50&gt;0,Z!$B$149&gt;0,Z!F70&gt;0),F50,IF(AND(Z!F70&gt;0,F50&gt;0,Z!$B$149&lt;0),MIN(Z!$B$149*-1-F57,F50),0))</f>
        <v>0</v>
      </c>
      <c r="G51" s="110">
        <f>IF(AND(G50&gt;0,Z!$B$149&gt;0,Z!G70&gt;0),G50,IF(AND(Z!G70&gt;0,G50&gt;0,Z!$B$149&lt;0),MIN(Z!$B$149*-1-G57,G50),0))</f>
        <v>0</v>
      </c>
    </row>
    <row r="52" spans="1:7" ht="20.100000000000001" customHeight="1">
      <c r="A52" s="757">
        <f>IF(B52&gt;0,"./. Einkommensüberschuss",0)</f>
        <v>0</v>
      </c>
      <c r="B52" s="961">
        <f>SUM(C52:G52)</f>
        <v>0</v>
      </c>
      <c r="C52" s="62">
        <f>IF(AND(C49+C50&gt;0,$B$49=1,Z!$B$149&lt;0,Z!$B$149*-1&gt;=$B$57),MIN(Z!$B$149*-1-C57,C49),IF(AND(C49+C50&gt;0,$B$49&gt;1,Z!$B$149&lt;0,Z!$B$149*-1&gt;=$B$57),MIN(Z!C149*-1-C57,C49),0))</f>
        <v>0</v>
      </c>
      <c r="D52" s="62">
        <f>IF(AND(D49+D50&gt;0,$B$49=1,Z!$B$149&lt;0,Z!$B$149*-1&gt;=$B$57),MIN(Z!$B$149*-1-D57,D49),IF(AND(D49+D50&gt;0,$B$49&gt;1,Z!$B$149&lt;0,Z!$B$149*-1&gt;=$B$57),MIN(Z!D149*-1-D57,D49),0))</f>
        <v>0</v>
      </c>
      <c r="E52" s="62">
        <f>IF(AND(E49+E50&gt;0,$B$49=1,Z!$B$149&lt;0,Z!$B$149*-1&gt;=$B$57),MIN(Z!$B$149*-1-E57,E49),IF(AND(E49+E50&gt;0,$B$49&gt;1,Z!$B$149&lt;0,Z!$B$149*-1&gt;=$B$57),MIN(Z!E149*-1-E57,E49),0))</f>
        <v>0</v>
      </c>
      <c r="F52" s="62">
        <f>IF(AND(F49+F50&gt;0,$B$49=1,Z!$B$149&lt;0,Z!$B$149*-1&gt;=$B$57),MIN(Z!$B$149*-1-F57,F49),IF(AND(F49+F50&gt;0,$B$49&gt;1,Z!$B$149&lt;0,Z!$B$149*-1&gt;=$B$57),MIN(Z!F149*-1-F57,F49),0))</f>
        <v>0</v>
      </c>
      <c r="G52" s="110">
        <f>IF(AND(G49+G50&gt;0,$B$49=1,Z!$B$149&lt;0,Z!$B$149*-1&gt;=$B$57),MIN(Z!$B$149*-1-G57,G49),IF(AND(G49+G50&gt;0,$B$49&gt;1,Z!$B$149&lt;0,Z!$B$149*-1&gt;=$B$57),MIN(Z!G149*-1-G57,G49),0))</f>
        <v>0</v>
      </c>
    </row>
    <row r="53" spans="1:7" ht="24.95" customHeight="1">
      <c r="A53" s="910" t="s">
        <v>296</v>
      </c>
      <c r="B53" s="940"/>
      <c r="C53" s="957">
        <f>IF(AND(C49+C50&gt;0,C9="nein"),"nein",IF(C48=0,C49+C50-C51-C52,0))</f>
        <v>0</v>
      </c>
      <c r="D53" s="957">
        <f t="shared" ref="D53:G53" si="11">IF(AND(D49+D50&gt;0,D9="nein"),"nein",IF(D48=0,D49+D50-D51-D52,0))</f>
        <v>0</v>
      </c>
      <c r="E53" s="957">
        <f t="shared" si="11"/>
        <v>0</v>
      </c>
      <c r="F53" s="957">
        <f t="shared" si="11"/>
        <v>0</v>
      </c>
      <c r="G53" s="958">
        <f t="shared" si="11"/>
        <v>0</v>
      </c>
    </row>
    <row r="54" spans="1:7" ht="20.100000000000001" customHeight="1">
      <c r="A54" s="911">
        <f>IF(AND(B52&gt;0,Z!B149*-1&lt;&gt;B52),"Achtung: Einkommensüberschüsse überprüfen!",0)</f>
        <v>0</v>
      </c>
      <c r="B54" s="941"/>
      <c r="C54" s="912"/>
      <c r="D54" s="912"/>
      <c r="E54" s="912"/>
      <c r="F54" s="912"/>
      <c r="G54" s="915"/>
    </row>
    <row r="55" spans="1:7" ht="20.100000000000001" customHeight="1">
      <c r="A55" s="904" t="s">
        <v>290</v>
      </c>
      <c r="B55" s="942"/>
      <c r="C55" s="891"/>
      <c r="D55" s="891"/>
      <c r="E55" s="891"/>
      <c r="F55" s="891"/>
      <c r="G55" s="894"/>
    </row>
    <row r="56" spans="1:7" ht="20.100000000000001" customHeight="1">
      <c r="A56" s="877" t="s">
        <v>293</v>
      </c>
      <c r="B56" s="934">
        <f t="shared" ref="B56" si="12">COUNTIF(C56:G56,"&gt;0")</f>
        <v>0</v>
      </c>
      <c r="C56" s="295">
        <f>C25-C26</f>
        <v>0</v>
      </c>
      <c r="D56" s="295">
        <f t="shared" ref="D56:G56" si="13">D25-D26</f>
        <v>0</v>
      </c>
      <c r="E56" s="295">
        <f t="shared" si="13"/>
        <v>0</v>
      </c>
      <c r="F56" s="295">
        <f t="shared" si="13"/>
        <v>0</v>
      </c>
      <c r="G56" s="296">
        <f t="shared" si="13"/>
        <v>0</v>
      </c>
    </row>
    <row r="57" spans="1:7" ht="20.100000000000001" customHeight="1">
      <c r="A57" s="877">
        <f>IF(B57&gt;0,"./. vom Einkommen abzusetzender Betrag",0)</f>
        <v>0</v>
      </c>
      <c r="B57" s="943">
        <f>SUM(C57:G57)</f>
        <v>0</v>
      </c>
      <c r="C57" s="295">
        <f>IF(AND(Z!$B$149*-1&lt;$B$27,Z!C70&gt;0,Z!$B$149*-1-C51&lt;0),C56,IF(AND(Z!$B$149&lt;0,Z!C70&gt;0,Z!$B$149*-1-C51&gt;0),MIN(Z!$B$149*-1-C51,C56),0))</f>
        <v>0</v>
      </c>
      <c r="D57" s="295">
        <f>IF(AND(Z!$B$149*-1&lt;$B$27,Z!D70&gt;0,Z!$B$149*-1-D51&lt;0),D56,IF(AND(Z!$B$149&lt;0,Z!D70&gt;0,Z!$B$149*-1-D51&gt;0),MIN(Z!$B$149*-1-D51,D56),0))</f>
        <v>0</v>
      </c>
      <c r="E57" s="295">
        <f>IF(AND(Z!$B$149*-1&lt;$B$27,Z!E70&gt;0,Z!$B$149*-1-E51&lt;0),E56,IF(AND(Z!$B$149&lt;0,Z!E70&gt;0,Z!$B$149*-1-E51&gt;0),MIN(Z!$B$149*-1-E51,E56),0))</f>
        <v>0</v>
      </c>
      <c r="F57" s="295">
        <f>IF(AND(Z!$B$149*-1&lt;$B$27,Z!F70&gt;0,Z!$B$149*-1-F51&lt;0),F56,IF(AND(Z!$B$149&lt;0,Z!F70&gt;0,Z!$B$149*-1-F51&gt;0),MIN(Z!$B$149*-1-F51,F56),0))</f>
        <v>0</v>
      </c>
      <c r="G57" s="296">
        <f>IF(AND(Z!$B$149*-1&lt;$B$27,Z!G70&gt;0,Z!$B$149*-1-G51&lt;0),G56,IF(AND(Z!$B$149&lt;0,Z!G70&gt;0,Z!$B$149*-1-G51&gt;0),MIN(Z!$B$149*-1-G51,G56),0))</f>
        <v>0</v>
      </c>
    </row>
    <row r="58" spans="1:7" ht="20.100000000000001" customHeight="1">
      <c r="A58" s="757">
        <f>IF(B58&gt;0,"./. Einkommensüberschuss",0)</f>
        <v>0</v>
      </c>
      <c r="B58" s="943">
        <f>SUM(C58:G58)</f>
        <v>0</v>
      </c>
      <c r="C58" s="295">
        <f>IF(C56=C57,0,IF(AND($B$56=1,Z!$B$149&lt;0,Z!$B$149*-1&gt;$B$27),Z!$B$149*-1,IF(AND($B$56&gt;1,Z!$B$149&lt;0,Z!$B$149*-1&gt;$B$27),Z!C149*-1,0)))</f>
        <v>0</v>
      </c>
      <c r="D58" s="295">
        <f>IF(D56=D57,0,IF(AND($B$56=1,Z!$B$149&lt;0,Z!$B$149*-1&gt;$B$27),Z!$B$149*-1,IF(AND($B$56&gt;1,Z!$B$149&lt;0,Z!$B$149*-1&gt;$B$27),Z!D149*-1,0)))</f>
        <v>0</v>
      </c>
      <c r="E58" s="295">
        <f>IF(E56=E57,0,IF(AND($B$56=1,Z!$B$149&lt;0,Z!$B$149*-1&gt;$B$27),Z!$B$149*-1,IF(AND($B$56&gt;1,Z!$B$149&lt;0,Z!$B$149*-1&gt;$B$27),Z!E149*-1,0)))</f>
        <v>0</v>
      </c>
      <c r="F58" s="295">
        <f>IF(F56=F57,0,IF(AND($B$56=1,Z!$B$149&lt;0,Z!$B$149*-1&gt;$B$27),Z!$B$149*-1,IF(AND($B$56&gt;1,Z!$B$149&lt;0,Z!$B$149*-1&gt;$B$27),Z!F149*-1,0)))</f>
        <v>0</v>
      </c>
      <c r="G58" s="296">
        <f>IF(G56=G57,0,IF(AND($B$56=1,Z!$B$149&lt;0,Z!$B$149*-1&gt;$B$27),Z!$B$149*-1,IF(AND($B$56&gt;1,Z!$B$149&lt;0,Z!$B$149*-1&gt;$B$27),Z!G149*-1,0)))</f>
        <v>0</v>
      </c>
    </row>
    <row r="59" spans="1:7" ht="24.95" customHeight="1" thickBot="1">
      <c r="A59" s="906" t="s">
        <v>297</v>
      </c>
      <c r="B59" s="944"/>
      <c r="C59" s="956">
        <f>IF(AND(C56&gt;0,C9="nein"),"nein",IF(OR(C48&lt;&gt;0,C56-C57-C58&lt;0),0,C56-C57-C58))</f>
        <v>0</v>
      </c>
      <c r="D59" s="956">
        <f t="shared" ref="D59:G59" si="14">IF(AND(D56&gt;0,D9="nein"),"nein",IF(OR(D48&lt;&gt;0,D56-D57-D58&lt;0),0,D56-D57-D58))</f>
        <v>0</v>
      </c>
      <c r="E59" s="956">
        <f t="shared" si="14"/>
        <v>0</v>
      </c>
      <c r="F59" s="956">
        <f t="shared" si="14"/>
        <v>0</v>
      </c>
      <c r="G59" s="959">
        <f t="shared" si="14"/>
        <v>0</v>
      </c>
    </row>
  </sheetData>
  <mergeCells count="5">
    <mergeCell ref="B4:C4"/>
    <mergeCell ref="A2:G2"/>
    <mergeCell ref="A29:G29"/>
    <mergeCell ref="C21:G21"/>
    <mergeCell ref="C46:G46"/>
  </mergeCells>
  <conditionalFormatting sqref="A32">
    <cfRule type="cellIs" dxfId="134" priority="9" stopIfTrue="1" operator="equal">
      <formula>"Bescheinigung Hilfebedürftigkeit für PKV"</formula>
    </cfRule>
  </conditionalFormatting>
  <conditionalFormatting sqref="C54:G54">
    <cfRule type="cellIs" dxfId="133" priority="10" stopIfTrue="1" operator="equal">
      <formula>"Pflichtversicherung!"</formula>
    </cfRule>
  </conditionalFormatting>
  <conditionalFormatting sqref="A46">
    <cfRule type="cellIs" dxfId="132" priority="11" stopIfTrue="1" operator="equal">
      <formula>"Halbierung Höchstbeitrag durch PKV"</formula>
    </cfRule>
  </conditionalFormatting>
  <conditionalFormatting sqref="C32:G32">
    <cfRule type="cellIs" dxfId="131" priority="3" operator="notEqual">
      <formula>0</formula>
    </cfRule>
  </conditionalFormatting>
  <dataValidations count="3">
    <dataValidation type="decimal" operator="lessThanOrEqual" allowBlank="1" showInputMessage="1" showErrorMessage="1" error="Wert liegt über Höchstbetrag für 2017!" sqref="C14:G14">
      <formula1>682.95</formula1>
    </dataValidation>
    <dataValidation type="decimal" operator="lessThanOrEqual" allowBlank="1" showInputMessage="1" showErrorMessage="1" error="Wert liegt über Höchstbeitrag für 2017!" sqref="C19:G19">
      <formula1>110.92</formula1>
    </dataValidation>
    <dataValidation type="decimal" errorStyle="information" operator="lessThanOrEqual" allowBlank="1" showInputMessage="1" showErrorMessage="1" error="Handelt es sich tatsächlich um einen Pflichtbeitrag oder wird ein freiwilliger Beitrag zur GKV gezahlt?" sqref="C23:G23">
      <formula1>0</formula1>
    </dataValidation>
  </dataValidations>
  <pageMargins left="0.9055118110236221" right="0.11811023622047245" top="0.59055118110236227" bottom="0.39370078740157483" header="0.31496062992125984" footer="0.31496062992125984"/>
  <pageSetup paperSize="9" scale="65" orientation="portrait" horizontalDpi="4294967293" verticalDpi="4294967293" r:id="rId1"/>
  <legacyDrawing r:id="rId2"/>
</worksheet>
</file>

<file path=xl/worksheets/sheet8.xml><?xml version="1.0" encoding="utf-8"?>
<worksheet xmlns="http://schemas.openxmlformats.org/spreadsheetml/2006/main" xmlns:r="http://schemas.openxmlformats.org/officeDocument/2006/relationships">
  <dimension ref="A1:N121"/>
  <sheetViews>
    <sheetView showGridLines="0" showZeros="0" topLeftCell="A34" zoomScale="120" zoomScaleNormal="120" workbookViewId="0">
      <selection activeCell="A2" sqref="A2:I2"/>
    </sheetView>
  </sheetViews>
  <sheetFormatPr baseColWidth="10" defaultColWidth="11.42578125" defaultRowHeight="16.5"/>
  <cols>
    <col min="1" max="1" width="34.140625" style="205" customWidth="1"/>
    <col min="2" max="2" width="16.7109375" style="205" customWidth="1"/>
    <col min="3" max="4" width="12.85546875" style="205" customWidth="1"/>
    <col min="5" max="6" width="13" style="205" customWidth="1"/>
    <col min="7" max="7" width="12.5703125" style="205" customWidth="1"/>
    <col min="8" max="8" width="12.7109375" style="205" customWidth="1"/>
    <col min="9" max="9" width="13.42578125" style="205" customWidth="1"/>
    <col min="10" max="16384" width="11.42578125" style="205"/>
  </cols>
  <sheetData>
    <row r="1" spans="1:14" ht="30" customHeight="1" thickBot="1">
      <c r="A1" s="1146" t="s">
        <v>181</v>
      </c>
      <c r="H1" s="606" t="s">
        <v>183</v>
      </c>
      <c r="I1" s="605">
        <f ca="1">TODAY()</f>
        <v>43401</v>
      </c>
    </row>
    <row r="2" spans="1:14" ht="36" customHeight="1">
      <c r="A2" s="2159" t="s">
        <v>322</v>
      </c>
      <c r="B2" s="2160"/>
      <c r="C2" s="2160"/>
      <c r="D2" s="2160"/>
      <c r="E2" s="2160"/>
      <c r="F2" s="2160"/>
      <c r="G2" s="2160"/>
      <c r="H2" s="2160"/>
      <c r="I2" s="2161"/>
      <c r="J2" s="206"/>
      <c r="K2" s="206"/>
    </row>
    <row r="3" spans="1:14" ht="24.95" customHeight="1" thickBot="1">
      <c r="A3" s="238" t="s">
        <v>4</v>
      </c>
      <c r="B3" s="2107">
        <f>Zusatzeingaben!B2</f>
        <v>0</v>
      </c>
      <c r="C3" s="2108"/>
      <c r="D3" s="239" t="s">
        <v>33</v>
      </c>
      <c r="E3" s="338">
        <f>Zusatzeingaben!E2</f>
        <v>43344</v>
      </c>
      <c r="F3" s="263" t="s">
        <v>103</v>
      </c>
      <c r="G3" s="339">
        <f>Zusatzeingaben!F2</f>
        <v>43373</v>
      </c>
      <c r="H3" s="240"/>
      <c r="I3" s="241"/>
      <c r="J3" s="206"/>
      <c r="K3" s="206"/>
    </row>
    <row r="4" spans="1:14" ht="20.100000000000001" customHeight="1" thickBot="1">
      <c r="A4" s="217"/>
      <c r="B4" s="688"/>
      <c r="C4" s="217"/>
      <c r="D4" s="217"/>
      <c r="E4" s="217"/>
      <c r="F4" s="217"/>
      <c r="G4" s="217"/>
      <c r="H4" s="217"/>
      <c r="I4" s="217"/>
    </row>
    <row r="5" spans="1:14" ht="21.95" customHeight="1">
      <c r="A5" s="996"/>
      <c r="B5" s="998" t="s">
        <v>1</v>
      </c>
      <c r="C5" s="998" t="str">
        <f>Zusatzeingaben!C4</f>
        <v>Antragsteller</v>
      </c>
      <c r="D5" s="998" t="str">
        <f>Zusatzeingaben!D4</f>
        <v>Partner(in)</v>
      </c>
      <c r="E5" s="998" t="str">
        <f>Zusatzeingaben!E4</f>
        <v>Kind 1</v>
      </c>
      <c r="F5" s="998" t="s">
        <v>8</v>
      </c>
      <c r="G5" s="998" t="s">
        <v>9</v>
      </c>
      <c r="H5" s="998" t="s">
        <v>10</v>
      </c>
      <c r="I5" s="999" t="s">
        <v>34</v>
      </c>
    </row>
    <row r="6" spans="1:14" ht="21.95" customHeight="1">
      <c r="A6" s="224" t="s">
        <v>35</v>
      </c>
      <c r="B6" s="1000">
        <f>Zusatzeingaben!B6</f>
        <v>1</v>
      </c>
      <c r="C6" s="301">
        <f>Zusatzeingaben!C6</f>
        <v>0</v>
      </c>
      <c r="D6" s="301">
        <f>Zusatzeingaben!D6</f>
        <v>0</v>
      </c>
      <c r="E6" s="301">
        <f>Zusatzeingaben!E6</f>
        <v>0</v>
      </c>
      <c r="F6" s="301">
        <f>Zusatzeingaben!F6</f>
        <v>0</v>
      </c>
      <c r="G6" s="301">
        <f>Zusatzeingaben!G6</f>
        <v>0</v>
      </c>
      <c r="H6" s="301">
        <f>Zusatzeingaben!H6</f>
        <v>0</v>
      </c>
      <c r="I6" s="302">
        <f>Zusatzeingaben!I6</f>
        <v>0</v>
      </c>
    </row>
    <row r="7" spans="1:14" ht="21.95" customHeight="1" thickBot="1">
      <c r="A7" s="225" t="s">
        <v>3</v>
      </c>
      <c r="B7" s="1047"/>
      <c r="C7" s="951">
        <f>Zusatzeingaben!C22</f>
        <v>0</v>
      </c>
      <c r="D7" s="951">
        <f>Zusatzeingaben!D22</f>
        <v>0</v>
      </c>
      <c r="E7" s="951">
        <f>IF(Zusatzeingaben!E16=0,Zusatzeingaben!E16,Zusatzeingaben!E22)</f>
        <v>0</v>
      </c>
      <c r="F7" s="951">
        <f>IF(Zusatzeingaben!F16=0,Zusatzeingaben!F16,Zusatzeingaben!F22)</f>
        <v>0</v>
      </c>
      <c r="G7" s="951">
        <f>IF(Zusatzeingaben!G16=0,Zusatzeingaben!G16,Zusatzeingaben!G22)</f>
        <v>0</v>
      </c>
      <c r="H7" s="951">
        <f>IF(Zusatzeingaben!H16=0,Zusatzeingaben!H16,Zusatzeingaben!H22)</f>
        <v>0</v>
      </c>
      <c r="I7" s="952">
        <f>IF(Zusatzeingaben!I16=0,Zusatzeingaben!I16,Zusatzeingaben!I22)</f>
        <v>0</v>
      </c>
      <c r="N7" s="723"/>
    </row>
    <row r="8" spans="1:14" ht="30" customHeight="1" thickBot="1">
      <c r="A8" s="723"/>
      <c r="B8" s="315"/>
      <c r="C8" s="997"/>
      <c r="D8" s="997"/>
      <c r="E8" s="997"/>
      <c r="F8" s="997"/>
      <c r="G8" s="997"/>
      <c r="H8" s="997"/>
      <c r="I8" s="997"/>
      <c r="L8" s="723"/>
    </row>
    <row r="9" spans="1:14" s="1095" customFormat="1" ht="24.95" customHeight="1">
      <c r="A9" s="2112" t="str">
        <f>IF(B11="eigentum","Belastung","Miete")</f>
        <v>Miete</v>
      </c>
      <c r="B9" s="2145"/>
      <c r="C9" s="2145"/>
      <c r="D9" s="2145"/>
      <c r="E9" s="2145"/>
      <c r="F9" s="2145"/>
      <c r="G9" s="2145"/>
      <c r="H9" s="2145"/>
      <c r="I9" s="2146"/>
    </row>
    <row r="10" spans="1:14" ht="20.100000000000001" customHeight="1">
      <c r="A10" s="1041" t="s">
        <v>323</v>
      </c>
      <c r="B10" s="1158" t="str">
        <f>Zusatzeingaben!F252</f>
        <v>VI</v>
      </c>
      <c r="C10" s="1013"/>
      <c r="D10" s="1013"/>
      <c r="E10" s="1013"/>
      <c r="F10" s="316"/>
      <c r="G10" s="316"/>
      <c r="H10" s="316"/>
      <c r="I10" s="317"/>
    </row>
    <row r="11" spans="1:14" ht="20.100000000000001" customHeight="1">
      <c r="A11" s="1041" t="s">
        <v>309</v>
      </c>
      <c r="B11" s="1045" t="str">
        <f>Zusatzeingaben!B253</f>
        <v>Miete</v>
      </c>
      <c r="C11" s="1013"/>
      <c r="D11" s="1013"/>
      <c r="E11" s="1013"/>
      <c r="F11" s="316"/>
      <c r="G11" s="316"/>
      <c r="H11" s="316"/>
      <c r="I11" s="317"/>
    </row>
    <row r="12" spans="1:14" ht="20.100000000000001" customHeight="1">
      <c r="A12" s="1038" t="str">
        <f>IF(B11="miete",Zusatzeingaben!A254,0)</f>
        <v>tatsächliche monatliche Bruttokaltmiete</v>
      </c>
      <c r="B12" s="766">
        <f>IF(B11="miete",Zusatzeingaben!B254,0)</f>
        <v>0</v>
      </c>
      <c r="C12" s="137"/>
      <c r="D12" s="137"/>
      <c r="E12" s="137"/>
      <c r="F12" s="137"/>
      <c r="G12" s="137"/>
      <c r="H12" s="137"/>
      <c r="I12" s="175"/>
    </row>
    <row r="13" spans="1:14" ht="20.100000000000001" customHeight="1">
      <c r="A13" s="1039">
        <f>IF($B$11="Eigentum","Berechnung der Belastung",0)</f>
        <v>0</v>
      </c>
      <c r="B13" s="766"/>
      <c r="C13" s="137"/>
      <c r="D13" s="137"/>
      <c r="E13" s="137"/>
      <c r="F13" s="137"/>
      <c r="G13" s="137"/>
      <c r="H13" s="137"/>
      <c r="I13" s="175"/>
    </row>
    <row r="14" spans="1:14" ht="20.100000000000001" customHeight="1">
      <c r="A14" s="1040">
        <f>IF($B$11="Eigentum","1. Instandhaltungs- und Betriebskosten",0)</f>
        <v>0</v>
      </c>
      <c r="B14" s="766">
        <f>IF(B11="Eigentum",Zusatzeingaben!B255*36/12,0)</f>
        <v>0</v>
      </c>
      <c r="C14" s="2147">
        <f>IF(B11="eigentum","("&amp;Zusatzeingaben!B255&amp;" m² x 36 € : 12)",0)</f>
        <v>0</v>
      </c>
      <c r="D14" s="2147"/>
      <c r="E14" s="137"/>
      <c r="F14" s="137"/>
      <c r="G14" s="137"/>
      <c r="H14" s="137"/>
      <c r="I14" s="175"/>
    </row>
    <row r="15" spans="1:14" ht="20.100000000000001" customHeight="1">
      <c r="A15" s="1040">
        <f>IF($B$11="Eigentum","2. Grundsteuer",0)</f>
        <v>0</v>
      </c>
      <c r="B15" s="766">
        <f>IF($B$11="Eigentum",Zusatzeingaben!B257,0)</f>
        <v>0</v>
      </c>
      <c r="C15" s="137"/>
      <c r="D15" s="137"/>
      <c r="E15" s="137"/>
      <c r="F15" s="137"/>
      <c r="G15" s="137"/>
      <c r="H15" s="137"/>
      <c r="I15" s="175"/>
    </row>
    <row r="16" spans="1:14" ht="20.100000000000001" customHeight="1">
      <c r="A16" s="1040">
        <f>IF(AND(Zusatzeingaben!B256&gt;0,$B$11="Eigentum"),"3. Zins- und Tilgungsrate",0)</f>
        <v>0</v>
      </c>
      <c r="B16" s="766">
        <f>IF($B$11="Eigentum",Zusatzeingaben!B256,0)</f>
        <v>0</v>
      </c>
      <c r="C16" s="137"/>
      <c r="D16" s="137"/>
      <c r="E16" s="137"/>
      <c r="F16" s="137"/>
      <c r="G16" s="137"/>
      <c r="H16" s="137"/>
      <c r="I16" s="175"/>
    </row>
    <row r="17" spans="1:9" ht="20.100000000000001" customHeight="1">
      <c r="A17" s="1040">
        <f>IF(AND(Zusatzeingaben!B258&lt;&gt;0,$B$11="Eigentum"),"./. Nutzungswert "&amp;Zusatzeingaben!B258&amp;"",0)</f>
        <v>0</v>
      </c>
      <c r="B17" s="766">
        <f>IF(AND($B$11="Eigentum",Zusatzeingaben!B258="Garage"),36,IF(AND($B$11="Eigentum",Zusatzeingaben!B258="PKW-Stellplatz"),23,0))</f>
        <v>0</v>
      </c>
      <c r="C17" s="137"/>
      <c r="D17" s="137"/>
      <c r="E17" s="137"/>
      <c r="F17" s="137"/>
      <c r="G17" s="137"/>
      <c r="H17" s="137"/>
      <c r="I17" s="175"/>
    </row>
    <row r="18" spans="1:9" ht="20.100000000000001" customHeight="1">
      <c r="A18" s="1038">
        <f>IF($B$11="Eigentum","monatliche Belastung",0)</f>
        <v>0</v>
      </c>
      <c r="B18" s="766">
        <f>IF($B$11="Eigentum",B14+B15+B16-B17,0)</f>
        <v>0</v>
      </c>
      <c r="C18" s="137"/>
      <c r="D18" s="137"/>
      <c r="E18" s="137"/>
      <c r="F18" s="137"/>
      <c r="G18" s="137"/>
      <c r="H18" s="137"/>
      <c r="I18" s="175"/>
    </row>
    <row r="19" spans="1:9" ht="21.95" customHeight="1" thickBot="1">
      <c r="A19" s="1042" t="s">
        <v>324</v>
      </c>
      <c r="B19" s="1012">
        <f>VLOOKUP(B10,G96:H101,2)</f>
        <v>522</v>
      </c>
      <c r="C19" s="215"/>
      <c r="D19" s="215"/>
      <c r="E19" s="215"/>
      <c r="F19" s="215"/>
      <c r="G19" s="215"/>
      <c r="H19" s="215"/>
      <c r="I19" s="1014"/>
    </row>
    <row r="20" spans="1:9" ht="23.25" customHeight="1" thickTop="1" thickBot="1">
      <c r="A20" s="1096" t="str">
        <f>IF(B11="Eigentum","zu berücksichtigende Belastung","zu berücksichtigende Miete")</f>
        <v>zu berücksichtigende Miete</v>
      </c>
      <c r="B20" s="1097">
        <f>IF(B11="eigentum",MIN(B18,B19),MIN(B12,B19))</f>
        <v>0</v>
      </c>
      <c r="C20" s="1043"/>
      <c r="D20" s="1043"/>
      <c r="E20" s="1043"/>
      <c r="F20" s="1043"/>
      <c r="G20" s="1043"/>
      <c r="H20" s="1043"/>
      <c r="I20" s="1044"/>
    </row>
    <row r="21" spans="1:9" ht="30" customHeight="1" thickBot="1">
      <c r="C21" s="173">
        <f>VLOOKUP(E3,Bedarfssätze!B7:C14,2)</f>
        <v>391</v>
      </c>
      <c r="D21" s="173">
        <f>VLOOKUP(E3,Bedarfssätze!E7:F14,2)</f>
        <v>353</v>
      </c>
      <c r="E21" s="173">
        <f>VLOOKUP(E3,Bedarfssätze!B25:C32,2)</f>
        <v>296</v>
      </c>
      <c r="F21" s="173">
        <f>VLOOKUP(E3,Bedarfssätze!E25:F32,2)</f>
        <v>261</v>
      </c>
      <c r="G21" s="173">
        <f>VLOOKUP(E3,Bedarfssätze!H25:I32,2)</f>
        <v>229</v>
      </c>
      <c r="H21" s="173">
        <f>VLOOKUP(E3,Bedarfssätze!H7:I14,2)</f>
        <v>313</v>
      </c>
    </row>
    <row r="22" spans="1:9" s="1095" customFormat="1" ht="24.95" customHeight="1">
      <c r="A22" s="2112" t="s">
        <v>340</v>
      </c>
      <c r="B22" s="2105"/>
      <c r="C22" s="2105"/>
      <c r="D22" s="2105"/>
      <c r="E22" s="2105"/>
      <c r="F22" s="2105"/>
      <c r="G22" s="2105"/>
      <c r="H22" s="2105"/>
      <c r="I22" s="2106"/>
    </row>
    <row r="23" spans="1:9" ht="17.25" customHeight="1">
      <c r="A23" s="224"/>
      <c r="B23" s="1002" t="s">
        <v>1</v>
      </c>
      <c r="C23" s="1002" t="str">
        <f>Zusatzeingaben!C4</f>
        <v>Antragsteller</v>
      </c>
      <c r="D23" s="1002" t="str">
        <f>Zusatzeingaben!D4</f>
        <v>Partner(in)</v>
      </c>
      <c r="E23" s="1002" t="str">
        <f>Zusatzeingaben!E4</f>
        <v>Kind 1</v>
      </c>
      <c r="F23" s="1002" t="s">
        <v>8</v>
      </c>
      <c r="G23" s="1002" t="s">
        <v>9</v>
      </c>
      <c r="H23" s="1002" t="s">
        <v>10</v>
      </c>
      <c r="I23" s="1003" t="s">
        <v>34</v>
      </c>
    </row>
    <row r="24" spans="1:9">
      <c r="A24" s="408">
        <f>IF(B24&gt;0,"Einnahmen aus nichtselbständiger Arbeit",0)</f>
        <v>0</v>
      </c>
      <c r="B24" s="1001">
        <f>SUM(C24:I24)</f>
        <v>0</v>
      </c>
      <c r="C24" s="62">
        <f>Zusatzeingaben!C260</f>
        <v>0</v>
      </c>
      <c r="D24" s="62">
        <f>Zusatzeingaben!D260</f>
        <v>0</v>
      </c>
      <c r="E24" s="62">
        <f>Zusatzeingaben!E260</f>
        <v>0</v>
      </c>
      <c r="F24" s="62">
        <f>Zusatzeingaben!F260</f>
        <v>0</v>
      </c>
      <c r="G24" s="62">
        <f>Zusatzeingaben!G260</f>
        <v>0</v>
      </c>
      <c r="H24" s="62">
        <f>Zusatzeingaben!H260</f>
        <v>0</v>
      </c>
      <c r="I24" s="110">
        <f>Zusatzeingaben!I260</f>
        <v>0</v>
      </c>
    </row>
    <row r="25" spans="1:9">
      <c r="A25" s="408">
        <f>IF(B25&gt;0,"Einnahmen aus geringfügiger Beschäftigung",0)</f>
        <v>0</v>
      </c>
      <c r="B25" s="1001">
        <f>SUM(C25:I25)</f>
        <v>0</v>
      </c>
      <c r="C25" s="62">
        <f>Zusatzeingaben!C262</f>
        <v>0</v>
      </c>
      <c r="D25" s="62">
        <f>Zusatzeingaben!D262</f>
        <v>0</v>
      </c>
      <c r="E25" s="62">
        <f>Zusatzeingaben!E262</f>
        <v>0</v>
      </c>
      <c r="F25" s="62">
        <f>Zusatzeingaben!F262</f>
        <v>0</v>
      </c>
      <c r="G25" s="62">
        <f>Zusatzeingaben!G262</f>
        <v>0</v>
      </c>
      <c r="H25" s="62">
        <f>Zusatzeingaben!H262</f>
        <v>0</v>
      </c>
      <c r="I25" s="110">
        <f>Zusatzeingaben!I262</f>
        <v>0</v>
      </c>
    </row>
    <row r="26" spans="1:9">
      <c r="A26" s="408">
        <f>IF(B26&gt;0,Zusatzeingaben!A139,0)</f>
        <v>0</v>
      </c>
      <c r="B26" s="1001">
        <f t="shared" ref="B26:B50" si="0">SUM(C26:I26)</f>
        <v>0</v>
      </c>
      <c r="C26" s="62">
        <f>Zusatzeingaben!C139*12</f>
        <v>0</v>
      </c>
      <c r="D26" s="62">
        <f>Zusatzeingaben!D139*12</f>
        <v>0</v>
      </c>
      <c r="E26" s="62">
        <f>Zusatzeingaben!E139*12</f>
        <v>0</v>
      </c>
      <c r="F26" s="62">
        <f>Zusatzeingaben!F139*12</f>
        <v>0</v>
      </c>
      <c r="G26" s="62">
        <f>Zusatzeingaben!G139*12</f>
        <v>0</v>
      </c>
      <c r="H26" s="62">
        <f>Zusatzeingaben!H139*12</f>
        <v>0</v>
      </c>
      <c r="I26" s="110">
        <f>Zusatzeingaben!I139*12</f>
        <v>0</v>
      </c>
    </row>
    <row r="27" spans="1:9" hidden="1">
      <c r="A27" s="408"/>
      <c r="B27" s="62"/>
      <c r="C27" s="62">
        <f>Zusatzeingaben!C138-200</f>
        <v>-200</v>
      </c>
      <c r="D27" s="62">
        <f>Zusatzeingaben!D138-200</f>
        <v>-200</v>
      </c>
      <c r="E27" s="62">
        <f>Zusatzeingaben!E138-200</f>
        <v>-200</v>
      </c>
      <c r="F27" s="62">
        <f>Zusatzeingaben!F138-200</f>
        <v>-200</v>
      </c>
      <c r="G27" s="62">
        <f>Zusatzeingaben!G138-200</f>
        <v>-200</v>
      </c>
      <c r="H27" s="62">
        <f>Zusatzeingaben!H138-200</f>
        <v>-200</v>
      </c>
      <c r="I27" s="110">
        <f>Zusatzeingaben!I138-200</f>
        <v>-200</v>
      </c>
    </row>
    <row r="28" spans="1:9">
      <c r="A28" s="408">
        <f>IF(B28&gt;0,"steuerfreie Einnahmen Ehrenamt o.ä.",0)</f>
        <v>0</v>
      </c>
      <c r="B28" s="1001">
        <f t="shared" si="0"/>
        <v>0</v>
      </c>
      <c r="C28" s="62">
        <f>IF(C27&lt;0,0,C27*12)</f>
        <v>0</v>
      </c>
      <c r="D28" s="62">
        <f t="shared" ref="D28:I28" si="1">IF(D27&lt;0,0,D27*12)</f>
        <v>0</v>
      </c>
      <c r="E28" s="62">
        <f t="shared" si="1"/>
        <v>0</v>
      </c>
      <c r="F28" s="62">
        <f t="shared" si="1"/>
        <v>0</v>
      </c>
      <c r="G28" s="62">
        <f t="shared" si="1"/>
        <v>0</v>
      </c>
      <c r="H28" s="62">
        <f t="shared" si="1"/>
        <v>0</v>
      </c>
      <c r="I28" s="110">
        <f t="shared" si="1"/>
        <v>0</v>
      </c>
    </row>
    <row r="29" spans="1:9">
      <c r="A29" s="408">
        <f>IF(B29&gt;0,"Sachbezug aus Freiwilligendiensten",0)</f>
        <v>0</v>
      </c>
      <c r="B29" s="1001">
        <f t="shared" si="0"/>
        <v>0</v>
      </c>
      <c r="C29" s="62">
        <f>Zusatzeingaben!C263*12</f>
        <v>0</v>
      </c>
      <c r="D29" s="62">
        <f>Zusatzeingaben!D263*12</f>
        <v>0</v>
      </c>
      <c r="E29" s="62">
        <f>Zusatzeingaben!E263*12</f>
        <v>0</v>
      </c>
      <c r="F29" s="62">
        <f>Zusatzeingaben!F263*12</f>
        <v>0</v>
      </c>
      <c r="G29" s="62">
        <f>Zusatzeingaben!G263*12</f>
        <v>0</v>
      </c>
      <c r="H29" s="62">
        <f>Zusatzeingaben!H263*12</f>
        <v>0</v>
      </c>
      <c r="I29" s="110">
        <f>Zusatzeingaben!I263*12</f>
        <v>0</v>
      </c>
    </row>
    <row r="30" spans="1:9" hidden="1">
      <c r="A30" s="408"/>
      <c r="B30" s="62"/>
      <c r="C30" s="62">
        <f>IF(Zusatzeingaben!C176="ja",Zusatzeingaben!C174-150,Zusatzeingaben!C174-300)</f>
        <v>-300</v>
      </c>
      <c r="D30" s="62">
        <f>IF(Zusatzeingaben!D176="ja",Zusatzeingaben!D174-150,Zusatzeingaben!D174-300)</f>
        <v>-300</v>
      </c>
      <c r="E30" s="62"/>
      <c r="F30" s="62"/>
      <c r="G30" s="62"/>
      <c r="H30" s="62"/>
      <c r="I30" s="110"/>
    </row>
    <row r="31" spans="1:9">
      <c r="A31" s="408">
        <f>IF(B31&gt;0,"anrechenbares Elterngeld",0)</f>
        <v>0</v>
      </c>
      <c r="B31" s="1001">
        <f t="shared" si="0"/>
        <v>0</v>
      </c>
      <c r="C31" s="62">
        <f>IF(C30&lt;0,0,C30*12)</f>
        <v>0</v>
      </c>
      <c r="D31" s="62">
        <f>IF(D30&lt;0,0,D30*12)</f>
        <v>0</v>
      </c>
      <c r="E31" s="62"/>
      <c r="F31" s="62"/>
      <c r="G31" s="62"/>
      <c r="H31" s="62"/>
      <c r="I31" s="110"/>
    </row>
    <row r="32" spans="1:9">
      <c r="A32" s="408">
        <f>IF(B32&gt;0,Zusatzeingaben!A180,0)</f>
        <v>0</v>
      </c>
      <c r="B32" s="1001">
        <f t="shared" si="0"/>
        <v>0</v>
      </c>
      <c r="C32" s="62">
        <f>IF(Zusatzeingaben!$A$180="Ausbildungsgeld",Zusatzeingaben!C180/2*12,IF(Zusatzeingaben!$A$180="Berufsausbildungsbeihilfe",Zusatzeingaben!C180/2*12,IF(Zusatzeingaben!$A$180="BAföG",Zusatzeingaben!C268/2*12,IF(Zusatzeingaben!$A$180="Unterhaltsbeitrag nach AFBG",Zusatzeingaben!C268/2*12,0))))</f>
        <v>0</v>
      </c>
      <c r="D32" s="62">
        <f>IF(Zusatzeingaben!$A$180="Ausbildungsgeld",Zusatzeingaben!D180/2*12,IF(Zusatzeingaben!$A$180="Berufsausbildungsbeihilfe",Zusatzeingaben!D180/2*12,IF(Zusatzeingaben!$A$180="BAföG",Zusatzeingaben!D268/2*12,IF(Zusatzeingaben!$A$180="Unterhaltsbeitrag nach AFBG",Zusatzeingaben!D268/2*12,0))))</f>
        <v>0</v>
      </c>
      <c r="E32" s="62">
        <f>IF(Zusatzeingaben!$A$180="Ausbildungsgeld",Zusatzeingaben!E180/2*12,IF(Zusatzeingaben!$A$180="Berufsausbildungsbeihilfe",Zusatzeingaben!E180/2*12,IF(Zusatzeingaben!$A$180="BAföG",Zusatzeingaben!E268/2*12,IF(Zusatzeingaben!$A$180="Unterhaltsbeitrag nach AFBG",Zusatzeingaben!E268/2*12,0))))</f>
        <v>0</v>
      </c>
      <c r="F32" s="62">
        <f>IF(Zusatzeingaben!$A$180="Ausbildungsgeld",Zusatzeingaben!F180/2*12,IF(Zusatzeingaben!$A$180="Berufsausbildungsbeihilfe",Zusatzeingaben!F180/2*12,IF(Zusatzeingaben!$A$180="BAföG",Zusatzeingaben!F268/2*12,IF(Zusatzeingaben!$A$180="Unterhaltsbeitrag nach AFBG",Zusatzeingaben!F268/2*12,0))))</f>
        <v>0</v>
      </c>
      <c r="G32" s="62"/>
      <c r="H32" s="62"/>
      <c r="I32" s="110"/>
    </row>
    <row r="33" spans="1:9">
      <c r="A33" s="408">
        <f>IF(B33&gt;0,"Unterhalt/Unterhaltsvorschuss",0)</f>
        <v>0</v>
      </c>
      <c r="B33" s="1001">
        <f t="shared" si="0"/>
        <v>0</v>
      </c>
      <c r="C33" s="62">
        <f>Zusatzeingaben!C195*12</f>
        <v>0</v>
      </c>
      <c r="D33" s="62">
        <f>Zusatzeingaben!D195*12</f>
        <v>0</v>
      </c>
      <c r="E33" s="62">
        <f>Zusatzeingaben!E195*12</f>
        <v>0</v>
      </c>
      <c r="F33" s="62">
        <f>Zusatzeingaben!F195*12</f>
        <v>0</v>
      </c>
      <c r="G33" s="62">
        <f>Zusatzeingaben!G195*12</f>
        <v>0</v>
      </c>
      <c r="H33" s="62">
        <f>Zusatzeingaben!H195*12</f>
        <v>0</v>
      </c>
      <c r="I33" s="110">
        <f>Zusatzeingaben!I195*12</f>
        <v>0</v>
      </c>
    </row>
    <row r="34" spans="1:9">
      <c r="A34" s="408">
        <f>IF(B34&gt;0,Zusatzeingaben!A196,0)</f>
        <v>0</v>
      </c>
      <c r="B34" s="1001">
        <f t="shared" si="0"/>
        <v>0</v>
      </c>
      <c r="C34" s="62">
        <f>Zusatzeingaben!C196*12</f>
        <v>0</v>
      </c>
      <c r="D34" s="62">
        <f>Zusatzeingaben!D196*12</f>
        <v>0</v>
      </c>
      <c r="E34" s="62">
        <f>Zusatzeingaben!E196*12</f>
        <v>0</v>
      </c>
      <c r="F34" s="62">
        <f>Zusatzeingaben!F196*12</f>
        <v>0</v>
      </c>
      <c r="G34" s="62">
        <f>Zusatzeingaben!G196*12</f>
        <v>0</v>
      </c>
      <c r="H34" s="62">
        <f>Zusatzeingaben!H196*12</f>
        <v>0</v>
      </c>
      <c r="I34" s="110">
        <f>Zusatzeingaben!I196*12</f>
        <v>0</v>
      </c>
    </row>
    <row r="35" spans="1:9">
      <c r="A35" s="408">
        <f>IF(B35&gt;0,"Bruttorente(n)",0)</f>
        <v>0</v>
      </c>
      <c r="B35" s="1001">
        <f t="shared" si="0"/>
        <v>0</v>
      </c>
      <c r="C35" s="62">
        <f>Zusatzeingaben!C266*12</f>
        <v>0</v>
      </c>
      <c r="D35" s="62">
        <f>Zusatzeingaben!D266*12</f>
        <v>0</v>
      </c>
      <c r="E35" s="62">
        <f>Zusatzeingaben!E266*12</f>
        <v>0</v>
      </c>
      <c r="F35" s="62">
        <f>Zusatzeingaben!F266*12</f>
        <v>0</v>
      </c>
      <c r="G35" s="62">
        <f>Zusatzeingaben!G266*12</f>
        <v>0</v>
      </c>
      <c r="H35" s="62">
        <f>Zusatzeingaben!H266*12</f>
        <v>0</v>
      </c>
      <c r="I35" s="110">
        <f>Zusatzeingaben!I266*12</f>
        <v>0</v>
      </c>
    </row>
    <row r="36" spans="1:9">
      <c r="A36" s="408">
        <f>IF(B36&gt;0,Zusatzeingaben!A267,0)</f>
        <v>0</v>
      </c>
      <c r="B36" s="1001">
        <f t="shared" si="0"/>
        <v>0</v>
      </c>
      <c r="C36" s="62">
        <f>Zusatzeingaben!C267*12</f>
        <v>0</v>
      </c>
      <c r="D36" s="62">
        <f>Zusatzeingaben!D267*12</f>
        <v>0</v>
      </c>
      <c r="E36" s="62">
        <f>Zusatzeingaben!E267*12</f>
        <v>0</v>
      </c>
      <c r="F36" s="62">
        <f>Zusatzeingaben!F267*12</f>
        <v>0</v>
      </c>
      <c r="G36" s="62">
        <f>Zusatzeingaben!G267*12</f>
        <v>0</v>
      </c>
      <c r="H36" s="62">
        <f>Zusatzeingaben!H267*12</f>
        <v>0</v>
      </c>
      <c r="I36" s="110">
        <f>Zusatzeingaben!I267*12</f>
        <v>0</v>
      </c>
    </row>
    <row r="37" spans="1:9">
      <c r="A37" s="408">
        <f>IF(AND(B37&gt;0,OR(Zusatzeingaben!A198="Mutterschaftsgeld",Zusatzeingaben!A198="Übergangsgeld")),Zusatzeingaben!A198,0)</f>
        <v>0</v>
      </c>
      <c r="B37" s="1001">
        <f t="shared" si="0"/>
        <v>0</v>
      </c>
      <c r="C37" s="62">
        <f>IF(OR(Zusatzeingaben!$A$198="Mutterschaftsgeld",Zusatzeingaben!$A$198="Übergangsgeld"),Zusatzeingaben!C198*12,0)</f>
        <v>0</v>
      </c>
      <c r="D37" s="62">
        <f>IF(OR(Zusatzeingaben!$A$198="Mutterschaftsgeld",Zusatzeingaben!$A$198="Übergangsgeld"),Zusatzeingaben!D198*12,0)</f>
        <v>0</v>
      </c>
      <c r="E37" s="62">
        <f>IF(OR(Zusatzeingaben!$A$198="Mutterschaftsgeld",Zusatzeingaben!$A$198="Übergangsgeld"),Zusatzeingaben!E198*12,0)</f>
        <v>0</v>
      </c>
      <c r="F37" s="62">
        <f>IF(OR(Zusatzeingaben!$A$198="Mutterschaftsgeld",Zusatzeingaben!$A$198="Übergangsgeld"),Zusatzeingaben!F198*12,0)</f>
        <v>0</v>
      </c>
      <c r="G37" s="62">
        <f>IF(OR(Zusatzeingaben!$A$198="Mutterschaftsgeld",Zusatzeingaben!$A$198="Übergangsgeld"),Zusatzeingaben!G198*12,0)</f>
        <v>0</v>
      </c>
      <c r="H37" s="62">
        <f>IF(OR(Zusatzeingaben!$A$198="Mutterschaftsgeld",Zusatzeingaben!$A$198="Übergangsgeld"),Zusatzeingaben!H198*12,0)</f>
        <v>0</v>
      </c>
      <c r="I37" s="110">
        <f>IF(OR(Zusatzeingaben!$A$198="Mutterschaftsgeld",Zusatzeingaben!$A$198="Übergangsgeld"),Zusatzeingaben!I198*12,0)</f>
        <v>0</v>
      </c>
    </row>
    <row r="38" spans="1:9" ht="16.5" customHeight="1" thickBot="1">
      <c r="A38" s="413">
        <f>IF(B38&gt;0,Zusatzeingaben!A199,0)</f>
        <v>0</v>
      </c>
      <c r="B38" s="1004">
        <f t="shared" si="0"/>
        <v>0</v>
      </c>
      <c r="C38" s="286">
        <f>Zusatzeingaben!C199*12</f>
        <v>0</v>
      </c>
      <c r="D38" s="286">
        <f>Zusatzeingaben!D199*12</f>
        <v>0</v>
      </c>
      <c r="E38" s="286">
        <f>Zusatzeingaben!E199*12</f>
        <v>0</v>
      </c>
      <c r="F38" s="286">
        <f>Zusatzeingaben!F199*12</f>
        <v>0</v>
      </c>
      <c r="G38" s="286">
        <f>Zusatzeingaben!G199*12</f>
        <v>0</v>
      </c>
      <c r="H38" s="286">
        <f>Zusatzeingaben!H199*12</f>
        <v>0</v>
      </c>
      <c r="I38" s="287">
        <f>Zusatzeingaben!I199*12</f>
        <v>0</v>
      </c>
    </row>
    <row r="39" spans="1:9" ht="18" thickTop="1" thickBot="1">
      <c r="A39" s="1006" t="s">
        <v>341</v>
      </c>
      <c r="B39" s="1005">
        <f t="shared" si="0"/>
        <v>0</v>
      </c>
      <c r="C39" s="290">
        <f>C24+C25+C26+C28+C29+C31+C32+C33+C34+C35+C36+C37+C38</f>
        <v>0</v>
      </c>
      <c r="D39" s="290">
        <f t="shared" ref="D39:I39" si="2">D24+D25+D26+D28+D29+D31+D32+D33+D34+D35+D36+D37+D38</f>
        <v>0</v>
      </c>
      <c r="E39" s="290">
        <f t="shared" si="2"/>
        <v>0</v>
      </c>
      <c r="F39" s="290">
        <f t="shared" si="2"/>
        <v>0</v>
      </c>
      <c r="G39" s="290">
        <f t="shared" si="2"/>
        <v>0</v>
      </c>
      <c r="H39" s="290">
        <f t="shared" si="2"/>
        <v>0</v>
      </c>
      <c r="I39" s="291">
        <f t="shared" si="2"/>
        <v>0</v>
      </c>
    </row>
    <row r="40" spans="1:9" s="212" customFormat="1" ht="9.9499999999999993" hidden="1" customHeight="1">
      <c r="A40" s="250"/>
      <c r="B40" s="137"/>
      <c r="C40" s="137"/>
      <c r="D40" s="137"/>
      <c r="E40" s="137"/>
      <c r="F40" s="137"/>
      <c r="G40" s="137"/>
      <c r="H40" s="137"/>
      <c r="I40" s="175"/>
    </row>
    <row r="41" spans="1:9" s="212" customFormat="1" ht="18" customHeight="1">
      <c r="A41" s="408">
        <f>IF(B41&gt;0,"./. Werbungskosten",0)</f>
        <v>0</v>
      </c>
      <c r="B41" s="1001">
        <f t="shared" si="0"/>
        <v>0</v>
      </c>
      <c r="C41" s="62">
        <f>IF(C24&gt;1000,MAX(Zusatzeingaben!C261,1000),C24)</f>
        <v>0</v>
      </c>
      <c r="D41" s="62">
        <f>IF(D24&gt;1000,MAX(Zusatzeingaben!D261,1000),D24)</f>
        <v>0</v>
      </c>
      <c r="E41" s="62">
        <f>IF(E24&gt;1000,MAX(Zusatzeingaben!E261,1000),E24)</f>
        <v>0</v>
      </c>
      <c r="F41" s="62">
        <f>IF(F24&gt;1000,MAX(Zusatzeingaben!F261,1000),F24)</f>
        <v>0</v>
      </c>
      <c r="G41" s="62">
        <f>IF(G24&gt;1000,MAX(Zusatzeingaben!G261,1000),G24)</f>
        <v>0</v>
      </c>
      <c r="H41" s="62">
        <f>IF(H24&gt;1000,MAX(Zusatzeingaben!H261,1000),H24)</f>
        <v>0</v>
      </c>
      <c r="I41" s="110">
        <f>IF(I24&gt;1000,MAX(Zusatzeingaben!I261,1000),I24)</f>
        <v>0</v>
      </c>
    </row>
    <row r="42" spans="1:9" s="212" customFormat="1" ht="18" customHeight="1">
      <c r="A42" s="408">
        <f>IF(B42&gt;0,"./. Werbungskosten",0)</f>
        <v>0</v>
      </c>
      <c r="B42" s="1001">
        <f t="shared" si="0"/>
        <v>0</v>
      </c>
      <c r="C42" s="62">
        <f>IF(C35&gt;0,MIN(C35,102),0)</f>
        <v>0</v>
      </c>
      <c r="D42" s="62">
        <f t="shared" ref="D42:I42" si="3">IF(D35&gt;0,MIN(D35,102),0)</f>
        <v>0</v>
      </c>
      <c r="E42" s="62">
        <f t="shared" si="3"/>
        <v>0</v>
      </c>
      <c r="F42" s="62">
        <f t="shared" si="3"/>
        <v>0</v>
      </c>
      <c r="G42" s="62">
        <f t="shared" si="3"/>
        <v>0</v>
      </c>
      <c r="H42" s="62">
        <f t="shared" si="3"/>
        <v>0</v>
      </c>
      <c r="I42" s="110">
        <f t="shared" si="3"/>
        <v>0</v>
      </c>
    </row>
    <row r="43" spans="1:9" s="212" customFormat="1" ht="18" customHeight="1">
      <c r="A43" s="408">
        <f>IF(B43&gt;0,"./. Kinderbetreuungskosten",0)</f>
        <v>0</v>
      </c>
      <c r="B43" s="1001">
        <f t="shared" si="0"/>
        <v>0</v>
      </c>
      <c r="C43" s="62">
        <f>Zusatzeingaben!C281</f>
        <v>0</v>
      </c>
      <c r="D43" s="62">
        <f>Zusatzeingaben!D281</f>
        <v>0</v>
      </c>
      <c r="E43" s="62"/>
      <c r="F43" s="62"/>
      <c r="G43" s="62"/>
      <c r="H43" s="62"/>
      <c r="I43" s="110"/>
    </row>
    <row r="44" spans="1:9" s="212" customFormat="1" ht="18" customHeight="1">
      <c r="A44" s="408"/>
      <c r="B44" s="62"/>
      <c r="C44" s="62">
        <f>C39-C41-C42-C43</f>
        <v>0</v>
      </c>
      <c r="D44" s="62">
        <f>D39-D41-D42-D43</f>
        <v>0</v>
      </c>
      <c r="E44" s="62">
        <f t="shared" ref="E44:I44" si="4">E39-E41-E42</f>
        <v>0</v>
      </c>
      <c r="F44" s="62">
        <f t="shared" si="4"/>
        <v>0</v>
      </c>
      <c r="G44" s="62">
        <f t="shared" si="4"/>
        <v>0</v>
      </c>
      <c r="H44" s="62">
        <f t="shared" si="4"/>
        <v>0</v>
      </c>
      <c r="I44" s="110">
        <f t="shared" si="4"/>
        <v>0</v>
      </c>
    </row>
    <row r="45" spans="1:9" s="212" customFormat="1" ht="18" customHeight="1" thickBot="1">
      <c r="A45" s="413">
        <f>IF(B45&gt;0,"./. Betrag nach § 16 WoGG",0)</f>
        <v>0</v>
      </c>
      <c r="B45" s="1004">
        <f t="shared" si="0"/>
        <v>0</v>
      </c>
      <c r="C45" s="286">
        <f>C44*Zusatzeingaben!C275</f>
        <v>0</v>
      </c>
      <c r="D45" s="286">
        <f>D44*Zusatzeingaben!D275</f>
        <v>0</v>
      </c>
      <c r="E45" s="286">
        <f>E44*Zusatzeingaben!E275</f>
        <v>0</v>
      </c>
      <c r="F45" s="286">
        <f>F44*Zusatzeingaben!F275</f>
        <v>0</v>
      </c>
      <c r="G45" s="286">
        <f>G44*Zusatzeingaben!G275</f>
        <v>0</v>
      </c>
      <c r="H45" s="286">
        <f>H44*Zusatzeingaben!H275</f>
        <v>0</v>
      </c>
      <c r="I45" s="287">
        <f>I44*Zusatzeingaben!I275</f>
        <v>0</v>
      </c>
    </row>
    <row r="46" spans="1:9" s="212" customFormat="1" ht="18" customHeight="1" thickTop="1">
      <c r="A46" s="1052" t="s">
        <v>339</v>
      </c>
      <c r="B46" s="1051">
        <f t="shared" si="0"/>
        <v>0</v>
      </c>
      <c r="C46" s="128">
        <f>IF(C39-C41-C42-C43-C45&lt;0,0,C39-C41-C42-C43-C45)</f>
        <v>0</v>
      </c>
      <c r="D46" s="128">
        <f>IF(D39-D41-D42-D43-D45&lt;0,0,D39-D41-D42-D43-D45)</f>
        <v>0</v>
      </c>
      <c r="E46" s="128">
        <f t="shared" ref="E46:I46" si="5">IF(E39-E41-E42-E43-E45&lt;0,0,E39-E41-E42-E43-E45)</f>
        <v>0</v>
      </c>
      <c r="F46" s="128">
        <f t="shared" si="5"/>
        <v>0</v>
      </c>
      <c r="G46" s="128">
        <f t="shared" si="5"/>
        <v>0</v>
      </c>
      <c r="H46" s="128">
        <f t="shared" si="5"/>
        <v>0</v>
      </c>
      <c r="I46" s="190">
        <f t="shared" si="5"/>
        <v>0</v>
      </c>
    </row>
    <row r="47" spans="1:9" s="212" customFormat="1" ht="18" customHeight="1">
      <c r="A47" s="408">
        <f>IF(B47&gt;0,"./. Freibetrag Schwerbehinderung",0)</f>
        <v>0</v>
      </c>
      <c r="B47" s="1001">
        <f t="shared" si="0"/>
        <v>0</v>
      </c>
      <c r="C47" s="62">
        <f>Zusatzeingaben!C279</f>
        <v>0</v>
      </c>
      <c r="D47" s="62">
        <f>Zusatzeingaben!D279</f>
        <v>0</v>
      </c>
      <c r="E47" s="62">
        <f>Zusatzeingaben!E279</f>
        <v>0</v>
      </c>
      <c r="F47" s="62">
        <f>Zusatzeingaben!F279</f>
        <v>0</v>
      </c>
      <c r="G47" s="62">
        <f>Zusatzeingaben!G279</f>
        <v>0</v>
      </c>
      <c r="H47" s="62">
        <f>Zusatzeingaben!H279</f>
        <v>0</v>
      </c>
      <c r="I47" s="110">
        <f>Zusatzeingaben!I279</f>
        <v>0</v>
      </c>
    </row>
    <row r="48" spans="1:9" s="212" customFormat="1" ht="18" customHeight="1">
      <c r="A48" s="408">
        <f>IF(B48&gt;0,"./. Freibetrag Alleinerziehung",0)</f>
        <v>0</v>
      </c>
      <c r="B48" s="1001">
        <f t="shared" si="0"/>
        <v>0</v>
      </c>
      <c r="C48" s="62">
        <f>IF(Zusatzeingaben!B46&gt;0,1320,0)</f>
        <v>0</v>
      </c>
      <c r="D48" s="62"/>
      <c r="E48" s="62"/>
      <c r="F48" s="62"/>
      <c r="G48" s="62"/>
      <c r="H48" s="62"/>
      <c r="I48" s="110"/>
    </row>
    <row r="49" spans="1:13" s="212" customFormat="1" ht="18" customHeight="1">
      <c r="A49" s="408">
        <f>IF(B49&gt;0,"./. Erwerbstätigenfreibetrag Kind unter 25",0)</f>
        <v>0</v>
      </c>
      <c r="B49" s="1001">
        <f t="shared" si="0"/>
        <v>0</v>
      </c>
      <c r="C49" s="62"/>
      <c r="D49" s="62"/>
      <c r="E49" s="62">
        <f>IF(E24+E25&gt;0,MIN(E24+E25-E41,1200),0)</f>
        <v>0</v>
      </c>
      <c r="F49" s="62">
        <f t="shared" ref="F49:I49" si="6">IF(F24+F25&gt;0,MIN(F24+F25-F41,1200),0)</f>
        <v>0</v>
      </c>
      <c r="G49" s="62">
        <f t="shared" si="6"/>
        <v>0</v>
      </c>
      <c r="H49" s="62">
        <f t="shared" si="6"/>
        <v>0</v>
      </c>
      <c r="I49" s="110">
        <f t="shared" si="6"/>
        <v>0</v>
      </c>
    </row>
    <row r="50" spans="1:13" s="212" customFormat="1" ht="18" customHeight="1" thickBot="1">
      <c r="A50" s="413">
        <f>IF(B50&gt;0,"./. Unterhaltsverpflichtungen",0)</f>
        <v>0</v>
      </c>
      <c r="B50" s="1004">
        <f t="shared" si="0"/>
        <v>0</v>
      </c>
      <c r="C50" s="286">
        <f>Zusatzeingaben!C219</f>
        <v>0</v>
      </c>
      <c r="D50" s="286">
        <f>Zusatzeingaben!D219</f>
        <v>0</v>
      </c>
      <c r="E50" s="286"/>
      <c r="F50" s="286"/>
      <c r="G50" s="286"/>
      <c r="H50" s="286"/>
      <c r="I50" s="287"/>
    </row>
    <row r="51" spans="1:13" s="212" customFormat="1" ht="21" customHeight="1" thickTop="1">
      <c r="A51" s="1100" t="s">
        <v>340</v>
      </c>
      <c r="B51" s="1098">
        <f>IF(B46-B47-B48-B49-B50&lt;0,0,B46-B47-B48-B49-B50)</f>
        <v>0</v>
      </c>
      <c r="C51" s="1056"/>
      <c r="D51" s="1056"/>
      <c r="E51" s="1056"/>
      <c r="F51" s="1056"/>
      <c r="G51" s="1056"/>
      <c r="H51" s="1056"/>
      <c r="I51" s="1057"/>
    </row>
    <row r="52" spans="1:13" s="212" customFormat="1" ht="21" customHeight="1" thickBot="1">
      <c r="A52" s="1053" t="s">
        <v>342</v>
      </c>
      <c r="B52" s="1103">
        <f>B51/12</f>
        <v>0</v>
      </c>
      <c r="C52" s="1054"/>
      <c r="D52" s="1054"/>
      <c r="E52" s="1054"/>
      <c r="F52" s="1054"/>
      <c r="G52" s="1054"/>
      <c r="H52" s="1054"/>
      <c r="I52" s="1055"/>
    </row>
    <row r="53" spans="1:13" s="212" customFormat="1" ht="30" customHeight="1" thickBot="1"/>
    <row r="54" spans="1:13" s="212" customFormat="1" ht="24.95" customHeight="1">
      <c r="A54" s="2112" t="s">
        <v>338</v>
      </c>
      <c r="B54" s="2105"/>
      <c r="C54" s="2105"/>
      <c r="D54" s="2105"/>
      <c r="E54" s="2105"/>
      <c r="F54" s="2105"/>
      <c r="G54" s="2105"/>
      <c r="H54" s="2105"/>
      <c r="I54" s="2106"/>
    </row>
    <row r="55" spans="1:13" s="212" customFormat="1" ht="17.25" customHeight="1">
      <c r="A55" s="1099"/>
      <c r="B55" s="1092"/>
      <c r="C55" s="1090"/>
      <c r="D55" s="1090"/>
      <c r="E55" s="1090"/>
      <c r="F55" s="1090"/>
      <c r="G55" s="1090"/>
      <c r="H55" s="1090"/>
      <c r="I55" s="1091"/>
    </row>
    <row r="56" spans="1:13" ht="24.95" customHeight="1" thickBot="1">
      <c r="A56" s="1089" t="s">
        <v>27</v>
      </c>
      <c r="B56" s="1102" t="str">
        <f>IF(OR(D82&lt;=0,B20=0),"0,00 €",D82)</f>
        <v>0,00 €</v>
      </c>
      <c r="C56" s="1093"/>
      <c r="D56" s="1093"/>
      <c r="E56" s="1093"/>
      <c r="F56" s="1093"/>
      <c r="G56" s="1093"/>
      <c r="H56" s="1093"/>
      <c r="I56" s="1094"/>
    </row>
    <row r="57" spans="1:13" ht="15" customHeight="1">
      <c r="A57" s="647"/>
    </row>
    <row r="58" spans="1:13" ht="14.25" customHeight="1">
      <c r="B58" s="1106">
        <f>IF(OR(D82&lt;=0,B20=0),0,D82)</f>
        <v>0</v>
      </c>
      <c r="K58" s="723"/>
    </row>
    <row r="59" spans="1:13" ht="18">
      <c r="A59" s="1146"/>
      <c r="B59" s="216"/>
      <c r="C59" s="217"/>
      <c r="D59" s="217"/>
      <c r="K59" s="1009"/>
      <c r="L59" s="1009"/>
      <c r="M59" s="1010"/>
    </row>
    <row r="60" spans="1:13" ht="16.5" hidden="1" customHeight="1">
      <c r="A60" s="218"/>
      <c r="B60" s="1071"/>
      <c r="C60" s="1070" t="s">
        <v>343</v>
      </c>
      <c r="D60" s="1060" t="s">
        <v>344</v>
      </c>
      <c r="E60" s="1061" t="s">
        <v>345</v>
      </c>
      <c r="F60" s="1059"/>
      <c r="G60" s="1060" t="s">
        <v>346</v>
      </c>
      <c r="H60" s="1061"/>
      <c r="K60" s="1009"/>
      <c r="L60" s="1009"/>
      <c r="M60" s="1010"/>
    </row>
    <row r="61" spans="1:13" ht="17.25" hidden="1" customHeight="1">
      <c r="A61" s="218"/>
      <c r="B61" s="1072"/>
      <c r="C61" s="220"/>
      <c r="D61" s="1063"/>
      <c r="E61" s="1064"/>
      <c r="F61" s="1062"/>
      <c r="G61" s="1063" t="s">
        <v>347</v>
      </c>
      <c r="H61" s="1064" t="s">
        <v>348</v>
      </c>
      <c r="K61" s="1009"/>
      <c r="L61" s="1009"/>
      <c r="M61" s="1010"/>
    </row>
    <row r="62" spans="1:13" hidden="1">
      <c r="A62" s="218"/>
      <c r="B62" s="1065">
        <v>1</v>
      </c>
      <c r="C62" s="1073">
        <v>0.04</v>
      </c>
      <c r="D62" s="1074">
        <v>6.3000000000000003E-4</v>
      </c>
      <c r="E62" s="1075">
        <v>1.3799999999999999E-4</v>
      </c>
      <c r="F62" s="1065">
        <v>1</v>
      </c>
      <c r="G62" s="723">
        <v>48</v>
      </c>
      <c r="H62" s="1066">
        <v>239</v>
      </c>
      <c r="K62" s="1009"/>
      <c r="L62" s="1009"/>
      <c r="M62" s="1010"/>
    </row>
    <row r="63" spans="1:13" hidden="1">
      <c r="A63" s="218"/>
      <c r="B63" s="1065">
        <v>2</v>
      </c>
      <c r="C63" s="1073">
        <v>0.03</v>
      </c>
      <c r="D63" s="1074">
        <v>4.4000000000000002E-4</v>
      </c>
      <c r="E63" s="1075">
        <v>1.03E-4</v>
      </c>
      <c r="F63" s="1065">
        <v>2</v>
      </c>
      <c r="G63" s="723">
        <v>59</v>
      </c>
      <c r="H63" s="1066">
        <v>310</v>
      </c>
      <c r="K63" s="1009"/>
      <c r="L63" s="1009"/>
      <c r="M63" s="1010"/>
    </row>
    <row r="64" spans="1:13" hidden="1">
      <c r="A64" s="218"/>
      <c r="B64" s="1065">
        <v>3</v>
      </c>
      <c r="C64" s="1073">
        <v>0.02</v>
      </c>
      <c r="D64" s="1074">
        <v>3.7999999999999997E-4</v>
      </c>
      <c r="E64" s="1075">
        <v>8.3000000000000012E-5</v>
      </c>
      <c r="F64" s="1065">
        <v>3</v>
      </c>
      <c r="G64" s="723">
        <v>70</v>
      </c>
      <c r="H64" s="1066">
        <v>360</v>
      </c>
      <c r="K64" s="1009"/>
      <c r="L64" s="1009"/>
      <c r="M64" s="1010"/>
    </row>
    <row r="65" spans="1:13" hidden="1">
      <c r="A65" s="218"/>
      <c r="B65" s="1065">
        <v>4</v>
      </c>
      <c r="C65" s="1073">
        <v>0.01</v>
      </c>
      <c r="D65" s="1074">
        <v>3.3999999999999997E-4</v>
      </c>
      <c r="E65" s="1075">
        <v>4.2999999999999995E-5</v>
      </c>
      <c r="F65" s="1065">
        <v>4</v>
      </c>
      <c r="G65" s="723">
        <v>81</v>
      </c>
      <c r="H65" s="1066">
        <v>389</v>
      </c>
      <c r="K65" s="1009"/>
      <c r="L65" s="1009"/>
      <c r="M65" s="1010"/>
    </row>
    <row r="66" spans="1:13" hidden="1">
      <c r="A66" s="218"/>
      <c r="B66" s="1065">
        <v>5</v>
      </c>
      <c r="C66" s="1073">
        <v>0</v>
      </c>
      <c r="D66" s="1074">
        <v>2.9999999999999997E-4</v>
      </c>
      <c r="E66" s="1075">
        <v>4.2000000000000004E-5</v>
      </c>
      <c r="F66" s="1065">
        <v>5</v>
      </c>
      <c r="G66" s="723">
        <v>91</v>
      </c>
      <c r="H66" s="1066">
        <v>463</v>
      </c>
      <c r="K66" s="1009"/>
      <c r="L66" s="1009"/>
      <c r="M66" s="1010"/>
    </row>
    <row r="67" spans="1:13" hidden="1">
      <c r="A67" s="218"/>
      <c r="B67" s="1065">
        <v>6</v>
      </c>
      <c r="C67" s="1073">
        <v>-0.01</v>
      </c>
      <c r="D67" s="1074">
        <v>2.7999999999999998E-4</v>
      </c>
      <c r="E67" s="1075">
        <v>3.6000000000000001E-5</v>
      </c>
      <c r="F67" s="1065">
        <v>6</v>
      </c>
      <c r="G67" s="723">
        <v>91</v>
      </c>
      <c r="H67" s="1066">
        <v>537</v>
      </c>
      <c r="K67" s="1009"/>
      <c r="L67" s="1009"/>
      <c r="M67" s="1010"/>
    </row>
    <row r="68" spans="1:13" hidden="1">
      <c r="A68" s="218"/>
      <c r="B68" s="1067">
        <v>7</v>
      </c>
      <c r="C68" s="1076">
        <v>-0.02</v>
      </c>
      <c r="D68" s="1077">
        <v>2.6000000000000003E-4</v>
      </c>
      <c r="E68" s="1078">
        <v>3.7000000000000005E-5</v>
      </c>
      <c r="F68" s="1067">
        <v>7</v>
      </c>
      <c r="G68" s="1068">
        <v>102</v>
      </c>
      <c r="H68" s="1069">
        <v>610</v>
      </c>
      <c r="K68" s="1009"/>
      <c r="L68" s="1009"/>
      <c r="M68" s="1010"/>
    </row>
    <row r="69" spans="1:13" hidden="1">
      <c r="A69" s="218"/>
      <c r="B69" s="217"/>
      <c r="C69" s="217"/>
      <c r="K69" s="1009"/>
      <c r="L69" s="1009"/>
      <c r="M69" s="1010"/>
    </row>
    <row r="70" spans="1:13" hidden="1">
      <c r="A70" s="218"/>
      <c r="B70" s="217"/>
      <c r="C70" s="1079" t="s">
        <v>343</v>
      </c>
      <c r="D70" s="1060" t="s">
        <v>344</v>
      </c>
      <c r="E70" s="1061" t="s">
        <v>345</v>
      </c>
      <c r="G70" s="1079" t="s">
        <v>347</v>
      </c>
      <c r="H70" s="1061" t="s">
        <v>348</v>
      </c>
      <c r="K70" s="1009"/>
      <c r="L70" s="1009"/>
      <c r="M70" s="1010"/>
    </row>
    <row r="71" spans="1:13" hidden="1">
      <c r="A71" s="218"/>
      <c r="B71" s="217"/>
      <c r="C71" s="1085">
        <f>VLOOKUP($B$6,$B$62:C68,2)</f>
        <v>0.04</v>
      </c>
      <c r="D71" s="1086">
        <f>VLOOKUP($B$6,$B$62:D68,3)</f>
        <v>6.3000000000000003E-4</v>
      </c>
      <c r="E71" s="1087">
        <f>VLOOKUP($B$6,$B$62:E68,4)</f>
        <v>1.3799999999999999E-4</v>
      </c>
      <c r="G71" s="1080">
        <f>VLOOKUP($B$6,$F$62:G68,2)</f>
        <v>48</v>
      </c>
      <c r="H71" s="1081">
        <f>VLOOKUP($B$6,$F$62:H68,3)</f>
        <v>239</v>
      </c>
      <c r="K71" s="1009"/>
      <c r="L71" s="1009"/>
      <c r="M71" s="1010"/>
    </row>
    <row r="72" spans="1:13" hidden="1">
      <c r="A72" s="218"/>
      <c r="B72" s="217"/>
      <c r="C72" s="217"/>
      <c r="K72" s="1009"/>
      <c r="L72" s="1009"/>
      <c r="M72" s="1010"/>
    </row>
    <row r="73" spans="1:13" hidden="1">
      <c r="A73" s="218"/>
      <c r="B73" s="217"/>
      <c r="C73" s="217"/>
      <c r="G73" s="1059" t="s">
        <v>350</v>
      </c>
      <c r="H73" s="1061" t="s">
        <v>351</v>
      </c>
      <c r="K73" s="1009"/>
      <c r="L73" s="1009"/>
      <c r="M73" s="1010"/>
    </row>
    <row r="74" spans="1:13" hidden="1">
      <c r="A74" s="218"/>
      <c r="B74" s="217"/>
      <c r="C74" s="217"/>
      <c r="G74" s="1082">
        <f>B20</f>
        <v>0</v>
      </c>
      <c r="H74" s="1083">
        <f>B52</f>
        <v>0</v>
      </c>
      <c r="K74" s="1009"/>
      <c r="L74" s="1009"/>
      <c r="M74" s="1010"/>
    </row>
    <row r="75" spans="1:13" hidden="1">
      <c r="A75" s="218"/>
      <c r="B75" s="217"/>
      <c r="C75" s="217"/>
      <c r="K75" s="1009"/>
      <c r="L75" s="1009"/>
      <c r="M75" s="1010"/>
    </row>
    <row r="76" spans="1:13" hidden="1">
      <c r="A76" s="218"/>
      <c r="B76" s="217"/>
      <c r="C76" s="217"/>
      <c r="G76" s="1084">
        <f>IF(G74&lt;G71,G71,G74)</f>
        <v>48</v>
      </c>
      <c r="H76" s="1084">
        <f>IF(H74&lt;H71,H71,H74)</f>
        <v>239</v>
      </c>
      <c r="K76" s="1009"/>
      <c r="L76" s="1009"/>
      <c r="M76" s="1010"/>
    </row>
    <row r="77" spans="1:13" hidden="1">
      <c r="A77" s="218"/>
      <c r="B77" s="216"/>
      <c r="C77" s="217"/>
      <c r="D77" s="217"/>
      <c r="K77" s="1009"/>
      <c r="L77" s="1009"/>
      <c r="M77" s="1010"/>
    </row>
    <row r="78" spans="1:13" hidden="1">
      <c r="A78" s="218"/>
      <c r="B78" s="217" t="s">
        <v>349</v>
      </c>
      <c r="C78" s="217"/>
      <c r="D78" s="1058">
        <f>C71+D71*G76+E71*H76</f>
        <v>0.10322199999999999</v>
      </c>
      <c r="K78" s="1009"/>
      <c r="L78" s="1009"/>
      <c r="M78" s="1010"/>
    </row>
    <row r="79" spans="1:13" hidden="1">
      <c r="A79" s="218"/>
      <c r="B79" s="217" t="s">
        <v>352</v>
      </c>
      <c r="C79" s="217"/>
      <c r="D79" s="1058">
        <f>D78*H76</f>
        <v>24.670057999999997</v>
      </c>
      <c r="K79" s="1009"/>
      <c r="L79" s="1009"/>
      <c r="M79" s="1010"/>
    </row>
    <row r="80" spans="1:13" hidden="1">
      <c r="A80" s="218"/>
      <c r="B80" s="217" t="s">
        <v>353</v>
      </c>
      <c r="C80" s="217"/>
      <c r="D80" s="1058">
        <f>G76-D79</f>
        <v>23.329942000000003</v>
      </c>
      <c r="K80" s="1009"/>
      <c r="L80" s="1009"/>
      <c r="M80" s="1010"/>
    </row>
    <row r="81" spans="1:13" hidden="1">
      <c r="A81" s="218"/>
      <c r="B81" s="217" t="s">
        <v>354</v>
      </c>
      <c r="C81" s="217"/>
      <c r="D81" s="1058">
        <f>1.15*D80</f>
        <v>26.829433300000002</v>
      </c>
      <c r="K81" s="1009"/>
      <c r="L81" s="1009"/>
      <c r="M81" s="1010"/>
    </row>
    <row r="82" spans="1:13" hidden="1">
      <c r="A82" s="218"/>
      <c r="B82" s="216"/>
      <c r="C82" s="217"/>
      <c r="D82" s="1088">
        <f>IF(ROUND(D81,0)&lt;10,0,ROUND(D81,0))</f>
        <v>27</v>
      </c>
      <c r="K82" s="1009"/>
      <c r="L82" s="1009"/>
      <c r="M82" s="1010"/>
    </row>
    <row r="83" spans="1:13" hidden="1">
      <c r="A83" s="218"/>
      <c r="B83" s="216"/>
      <c r="C83" s="217"/>
      <c r="D83" s="217"/>
      <c r="K83" s="1009"/>
      <c r="L83" s="1009"/>
      <c r="M83" s="1010"/>
    </row>
    <row r="84" spans="1:13" hidden="1">
      <c r="D84" s="215"/>
      <c r="K84" s="1009"/>
      <c r="L84" s="1009"/>
      <c r="M84" s="1010"/>
    </row>
    <row r="85" spans="1:13" hidden="1">
      <c r="A85" s="205" t="s">
        <v>325</v>
      </c>
      <c r="B85" s="205" t="s">
        <v>326</v>
      </c>
      <c r="C85" s="205" t="s">
        <v>325</v>
      </c>
      <c r="D85" s="205" t="s">
        <v>327</v>
      </c>
      <c r="E85" s="205" t="s">
        <v>325</v>
      </c>
      <c r="F85" s="205" t="s">
        <v>328</v>
      </c>
      <c r="K85" s="1009"/>
      <c r="L85" s="1009"/>
      <c r="M85" s="1010"/>
    </row>
    <row r="86" spans="1:13" hidden="1">
      <c r="A86" s="205">
        <v>1</v>
      </c>
      <c r="B86" s="1007">
        <v>312</v>
      </c>
      <c r="C86" s="205">
        <v>1</v>
      </c>
      <c r="D86" s="1007">
        <v>351</v>
      </c>
      <c r="E86" s="205">
        <v>1</v>
      </c>
      <c r="F86" s="1007">
        <v>390</v>
      </c>
      <c r="K86" s="1009"/>
      <c r="L86" s="1009"/>
      <c r="M86" s="1010"/>
    </row>
    <row r="87" spans="1:13" hidden="1">
      <c r="A87" s="205">
        <v>2</v>
      </c>
      <c r="B87" s="1007">
        <v>378</v>
      </c>
      <c r="C87" s="205">
        <v>2</v>
      </c>
      <c r="D87" s="1007">
        <v>425</v>
      </c>
      <c r="E87" s="205">
        <v>2</v>
      </c>
      <c r="F87" s="1007">
        <v>473</v>
      </c>
      <c r="K87" s="1009"/>
      <c r="L87" s="1009"/>
      <c r="M87" s="1010"/>
    </row>
    <row r="88" spans="1:13" hidden="1">
      <c r="A88" s="205">
        <v>3</v>
      </c>
      <c r="B88" s="1007">
        <v>450</v>
      </c>
      <c r="C88" s="205">
        <v>3</v>
      </c>
      <c r="D88" s="1007">
        <v>506</v>
      </c>
      <c r="E88" s="205">
        <v>3</v>
      </c>
      <c r="F88" s="1007">
        <v>563</v>
      </c>
      <c r="K88" s="1009"/>
      <c r="L88" s="1009"/>
      <c r="M88" s="1010"/>
    </row>
    <row r="89" spans="1:13" hidden="1">
      <c r="A89" s="205">
        <v>4</v>
      </c>
      <c r="B89" s="1007">
        <v>525</v>
      </c>
      <c r="C89" s="205">
        <v>4</v>
      </c>
      <c r="D89" s="1007">
        <v>591</v>
      </c>
      <c r="E89" s="205">
        <v>4</v>
      </c>
      <c r="F89" s="1007">
        <v>656</v>
      </c>
      <c r="K89" s="1009"/>
      <c r="L89" s="1009"/>
      <c r="M89" s="1010"/>
    </row>
    <row r="90" spans="1:13" hidden="1">
      <c r="A90" s="205">
        <v>5</v>
      </c>
      <c r="B90" s="1007">
        <v>600</v>
      </c>
      <c r="C90" s="205">
        <v>5</v>
      </c>
      <c r="D90" s="1007">
        <v>675</v>
      </c>
      <c r="E90" s="205">
        <v>5</v>
      </c>
      <c r="F90" s="1007">
        <v>750</v>
      </c>
      <c r="K90" s="1009"/>
      <c r="L90" s="1009"/>
      <c r="M90" s="1010"/>
    </row>
    <row r="91" spans="1:13" hidden="1">
      <c r="A91" s="205">
        <v>6</v>
      </c>
      <c r="B91" s="1007">
        <v>671</v>
      </c>
      <c r="C91" s="205">
        <v>6</v>
      </c>
      <c r="D91" s="1007">
        <v>756</v>
      </c>
      <c r="E91" s="205">
        <v>6</v>
      </c>
      <c r="F91" s="1007">
        <v>841</v>
      </c>
      <c r="K91" s="1009"/>
      <c r="L91" s="1009"/>
      <c r="M91" s="1010"/>
    </row>
    <row r="92" spans="1:13" hidden="1">
      <c r="A92" s="205">
        <v>7</v>
      </c>
      <c r="B92" s="1007">
        <v>742</v>
      </c>
      <c r="C92" s="205">
        <v>7</v>
      </c>
      <c r="D92" s="1007">
        <v>837</v>
      </c>
      <c r="E92" s="205">
        <v>7</v>
      </c>
      <c r="F92" s="1007">
        <v>932</v>
      </c>
      <c r="K92" s="1009"/>
      <c r="L92" s="1009"/>
      <c r="M92" s="1010"/>
    </row>
    <row r="93" spans="1:13" hidden="1">
      <c r="B93" s="1008">
        <f>VLOOKUP(B6,A86:B92,2)</f>
        <v>312</v>
      </c>
      <c r="D93" s="1008">
        <f>VLOOKUP(B6,C86:D92,2)</f>
        <v>351</v>
      </c>
      <c r="F93" s="1008">
        <f>VLOOKUP($B$6,E86:F92,2)</f>
        <v>390</v>
      </c>
      <c r="K93" s="1009"/>
      <c r="L93" s="1009"/>
      <c r="M93" s="1010"/>
    </row>
    <row r="94" spans="1:13" hidden="1">
      <c r="D94" s="215"/>
      <c r="K94" s="1009"/>
      <c r="L94" s="1009"/>
      <c r="M94" s="1010"/>
    </row>
    <row r="95" spans="1:13" hidden="1">
      <c r="A95" s="205" t="s">
        <v>325</v>
      </c>
      <c r="B95" s="205" t="s">
        <v>329</v>
      </c>
      <c r="C95" s="205" t="s">
        <v>325</v>
      </c>
      <c r="D95" s="205" t="s">
        <v>330</v>
      </c>
      <c r="E95" s="205" t="s">
        <v>325</v>
      </c>
      <c r="F95" s="205" t="s">
        <v>331</v>
      </c>
      <c r="K95" s="1009"/>
      <c r="L95" s="1009"/>
      <c r="M95" s="1010"/>
    </row>
    <row r="96" spans="1:13" hidden="1">
      <c r="A96" s="205">
        <v>1</v>
      </c>
      <c r="B96" s="1007">
        <v>434</v>
      </c>
      <c r="C96" s="205">
        <v>1</v>
      </c>
      <c r="D96" s="1007">
        <v>482</v>
      </c>
      <c r="E96" s="205">
        <v>1</v>
      </c>
      <c r="F96" s="1007">
        <v>522</v>
      </c>
      <c r="G96" s="1019" t="s">
        <v>312</v>
      </c>
      <c r="H96" s="1018">
        <f>B93</f>
        <v>312</v>
      </c>
      <c r="K96" s="1009"/>
      <c r="L96" s="1009"/>
      <c r="M96" s="1010"/>
    </row>
    <row r="97" spans="1:13" hidden="1">
      <c r="A97" s="205">
        <v>2</v>
      </c>
      <c r="B97" s="1007">
        <v>526</v>
      </c>
      <c r="C97" s="205">
        <v>2</v>
      </c>
      <c r="D97" s="1007">
        <v>584</v>
      </c>
      <c r="E97" s="205">
        <v>2</v>
      </c>
      <c r="F97" s="1007">
        <v>633</v>
      </c>
      <c r="G97" s="1019" t="s">
        <v>332</v>
      </c>
      <c r="H97" s="1018">
        <f>D93</f>
        <v>351</v>
      </c>
      <c r="K97" s="1009"/>
      <c r="L97" s="1009"/>
      <c r="M97" s="1010"/>
    </row>
    <row r="98" spans="1:13" hidden="1">
      <c r="A98" s="205">
        <v>3</v>
      </c>
      <c r="B98" s="1007">
        <v>626</v>
      </c>
      <c r="C98" s="205">
        <v>3</v>
      </c>
      <c r="D98" s="1007">
        <v>695</v>
      </c>
      <c r="E98" s="205">
        <v>3</v>
      </c>
      <c r="F98" s="1007">
        <v>753</v>
      </c>
      <c r="G98" s="1019" t="s">
        <v>333</v>
      </c>
      <c r="H98" s="1018">
        <f>F93</f>
        <v>390</v>
      </c>
      <c r="K98" s="1009"/>
      <c r="L98" s="1009"/>
      <c r="M98" s="1010"/>
    </row>
    <row r="99" spans="1:13" hidden="1">
      <c r="A99" s="205">
        <v>4</v>
      </c>
      <c r="B99" s="1007">
        <v>730</v>
      </c>
      <c r="C99" s="205">
        <v>4</v>
      </c>
      <c r="D99" s="1007">
        <v>811</v>
      </c>
      <c r="E99" s="205">
        <v>4</v>
      </c>
      <c r="F99" s="1007">
        <v>879</v>
      </c>
      <c r="G99" s="1019" t="s">
        <v>334</v>
      </c>
      <c r="H99" s="1018">
        <f>B103</f>
        <v>434</v>
      </c>
      <c r="K99" s="1009"/>
      <c r="L99" s="1009"/>
      <c r="M99" s="1010"/>
    </row>
    <row r="100" spans="1:13" hidden="1">
      <c r="A100" s="205">
        <v>5</v>
      </c>
      <c r="B100" s="1007">
        <v>834</v>
      </c>
      <c r="C100" s="205">
        <v>5</v>
      </c>
      <c r="D100" s="1007">
        <v>927</v>
      </c>
      <c r="E100" s="205">
        <v>5</v>
      </c>
      <c r="F100" s="1007">
        <v>1004</v>
      </c>
      <c r="G100" s="1019" t="s">
        <v>335</v>
      </c>
      <c r="H100" s="1018">
        <f>D103</f>
        <v>482</v>
      </c>
      <c r="K100" s="1009"/>
      <c r="L100" s="1009"/>
      <c r="M100" s="1010"/>
    </row>
    <row r="101" spans="1:13" hidden="1">
      <c r="A101" s="205">
        <v>6</v>
      </c>
      <c r="B101" s="1007">
        <v>935</v>
      </c>
      <c r="C101" s="205">
        <v>6</v>
      </c>
      <c r="D101" s="1007">
        <v>1038</v>
      </c>
      <c r="E101" s="205">
        <v>6</v>
      </c>
      <c r="F101" s="1007">
        <v>1130</v>
      </c>
      <c r="G101" s="1019" t="s">
        <v>336</v>
      </c>
      <c r="H101" s="1018">
        <f>F103</f>
        <v>522</v>
      </c>
      <c r="K101" s="1009"/>
      <c r="L101" s="1009"/>
      <c r="M101" s="1010"/>
    </row>
    <row r="102" spans="1:13" hidden="1">
      <c r="A102" s="205">
        <v>7</v>
      </c>
      <c r="B102" s="1007">
        <v>1036</v>
      </c>
      <c r="C102" s="205">
        <v>7</v>
      </c>
      <c r="D102" s="1007">
        <v>1149</v>
      </c>
      <c r="E102" s="205">
        <v>7</v>
      </c>
      <c r="F102" s="1007">
        <v>1256</v>
      </c>
      <c r="K102" s="1009"/>
      <c r="L102" s="1009"/>
      <c r="M102" s="1010"/>
    </row>
    <row r="103" spans="1:13" hidden="1">
      <c r="B103" s="1008">
        <f>VLOOKUP(B6,A96:B102,2)</f>
        <v>434</v>
      </c>
      <c r="D103" s="1008">
        <f>VLOOKUP(B6,C96:D102,2)</f>
        <v>482</v>
      </c>
      <c r="F103" s="1008">
        <f>VLOOKUP($B$6,E96:F102,2)</f>
        <v>522</v>
      </c>
      <c r="K103" s="1009"/>
      <c r="L103" s="1009"/>
      <c r="M103" s="1010"/>
    </row>
    <row r="104" spans="1:13">
      <c r="K104" s="1009"/>
      <c r="L104" s="1009"/>
      <c r="M104" s="1010"/>
    </row>
    <row r="105" spans="1:13">
      <c r="K105" s="1009"/>
      <c r="L105" s="1009"/>
      <c r="M105" s="1010"/>
    </row>
    <row r="106" spans="1:13">
      <c r="K106" s="1009"/>
      <c r="L106" s="1009"/>
      <c r="M106" s="1010"/>
    </row>
    <row r="107" spans="1:13">
      <c r="K107" s="1009"/>
      <c r="L107" s="1009"/>
      <c r="M107" s="1010"/>
    </row>
    <row r="108" spans="1:13">
      <c r="K108" s="1009"/>
      <c r="L108" s="1009"/>
      <c r="M108" s="1010"/>
    </row>
    <row r="109" spans="1:13">
      <c r="K109" s="1009"/>
      <c r="L109" s="1009"/>
      <c r="M109" s="1010"/>
    </row>
    <row r="110" spans="1:13">
      <c r="K110" s="1009"/>
      <c r="L110" s="1009"/>
      <c r="M110" s="1011"/>
    </row>
    <row r="111" spans="1:13">
      <c r="K111" s="1009"/>
      <c r="L111" s="1009"/>
      <c r="M111" s="1010"/>
    </row>
    <row r="112" spans="1:13">
      <c r="K112" s="1009"/>
      <c r="L112" s="1009"/>
      <c r="M112" s="1010"/>
    </row>
    <row r="113" spans="11:13">
      <c r="K113" s="1009"/>
      <c r="L113" s="1009"/>
      <c r="M113" s="1010"/>
    </row>
    <row r="114" spans="11:13">
      <c r="K114" s="1009"/>
      <c r="L114" s="1009"/>
      <c r="M114" s="1010"/>
    </row>
    <row r="115" spans="11:13">
      <c r="K115" s="1009"/>
      <c r="L115" s="1009"/>
      <c r="M115" s="1010"/>
    </row>
    <row r="116" spans="11:13">
      <c r="K116" s="1009"/>
      <c r="L116" s="1009"/>
      <c r="M116" s="1010"/>
    </row>
    <row r="117" spans="11:13">
      <c r="K117" s="1009"/>
      <c r="L117" s="1009"/>
      <c r="M117" s="1010"/>
    </row>
    <row r="118" spans="11:13">
      <c r="K118" s="1009"/>
      <c r="L118" s="1009"/>
      <c r="M118" s="1010"/>
    </row>
    <row r="119" spans="11:13">
      <c r="K119" s="1009"/>
      <c r="L119" s="1009"/>
      <c r="M119" s="1010"/>
    </row>
    <row r="120" spans="11:13">
      <c r="K120" s="1009"/>
      <c r="L120" s="1009"/>
      <c r="M120" s="1010"/>
    </row>
    <row r="121" spans="11:13">
      <c r="K121" s="1009"/>
      <c r="L121" s="1009"/>
      <c r="M121" s="1010"/>
    </row>
  </sheetData>
  <sheetProtection sheet="1" objects="1" scenarios="1"/>
  <mergeCells count="6">
    <mergeCell ref="A54:I54"/>
    <mergeCell ref="B3:C3"/>
    <mergeCell ref="A2:I2"/>
    <mergeCell ref="A22:I22"/>
    <mergeCell ref="A9:I9"/>
    <mergeCell ref="C14:D14"/>
  </mergeCells>
  <conditionalFormatting sqref="B12">
    <cfRule type="expression" dxfId="130" priority="6">
      <formula>B11="miete"</formula>
    </cfRule>
  </conditionalFormatting>
  <conditionalFormatting sqref="B14">
    <cfRule type="expression" dxfId="129" priority="5">
      <formula>B11="Eigentum"</formula>
    </cfRule>
  </conditionalFormatting>
  <conditionalFormatting sqref="B15">
    <cfRule type="expression" dxfId="128" priority="4">
      <formula>B11="eigentum"</formula>
    </cfRule>
  </conditionalFormatting>
  <conditionalFormatting sqref="B16">
    <cfRule type="expression" dxfId="127" priority="3">
      <formula>A16&lt;&gt;0</formula>
    </cfRule>
  </conditionalFormatting>
  <conditionalFormatting sqref="B17">
    <cfRule type="expression" dxfId="126" priority="2">
      <formula>A17&lt;&gt;0</formula>
    </cfRule>
  </conditionalFormatting>
  <conditionalFormatting sqref="B18">
    <cfRule type="expression" dxfId="125" priority="1">
      <formula>B11="Eigentum"</formula>
    </cfRule>
  </conditionalFormatting>
  <hyperlinks>
    <hyperlink ref="A1" location="Eingaben!A1" display="zurück"/>
  </hyperlinks>
  <pageMargins left="0.70866141732283472" right="0.31496062992125984" top="0.59055118110236227" bottom="0.39370078740157483" header="0.31496062992125984" footer="0.31496062992125984"/>
  <pageSetup paperSize="9" scale="65" orientation="portrait" horizontalDpi="4294967293" verticalDpi="4294967293" r:id="rId1"/>
</worksheet>
</file>

<file path=xl/worksheets/sheet9.xml><?xml version="1.0" encoding="utf-8"?>
<worksheet xmlns="http://schemas.openxmlformats.org/spreadsheetml/2006/main" xmlns:r="http://schemas.openxmlformats.org/officeDocument/2006/relationships">
  <dimension ref="A1:L239"/>
  <sheetViews>
    <sheetView showGridLines="0" showZeros="0" topLeftCell="A141" zoomScale="120" zoomScaleNormal="120" workbookViewId="0">
      <selection activeCell="A19" sqref="A19"/>
    </sheetView>
  </sheetViews>
  <sheetFormatPr baseColWidth="10" defaultColWidth="11.42578125" defaultRowHeight="16.5"/>
  <cols>
    <col min="1" max="1" width="33.28515625" style="205" customWidth="1"/>
    <col min="2" max="2" width="16.7109375" style="205" customWidth="1"/>
    <col min="3" max="3" width="12.85546875" style="205" customWidth="1"/>
    <col min="4" max="6" width="13" style="205" customWidth="1"/>
    <col min="7" max="7" width="12.5703125" style="205" customWidth="1"/>
    <col min="8" max="8" width="12.7109375" style="205" customWidth="1"/>
    <col min="9" max="9" width="13.42578125" style="205" customWidth="1"/>
    <col min="10" max="16384" width="11.42578125" style="205"/>
  </cols>
  <sheetData>
    <row r="1" spans="1:11" ht="20.25" customHeight="1" thickBot="1">
      <c r="H1" s="606" t="s">
        <v>183</v>
      </c>
      <c r="I1" s="605">
        <f ca="1">TODAY()</f>
        <v>43401</v>
      </c>
    </row>
    <row r="2" spans="1:11" ht="36" customHeight="1">
      <c r="A2" s="234"/>
      <c r="B2" s="346" t="s">
        <v>2</v>
      </c>
      <c r="C2" s="235"/>
      <c r="D2" s="222"/>
      <c r="E2" s="236"/>
      <c r="F2" s="236"/>
      <c r="G2" s="236"/>
      <c r="H2" s="236"/>
      <c r="I2" s="237"/>
      <c r="J2" s="206"/>
      <c r="K2" s="206"/>
    </row>
    <row r="3" spans="1:11" ht="19.5" thickBot="1">
      <c r="A3" s="238" t="s">
        <v>4</v>
      </c>
      <c r="B3" s="2107">
        <f>Zusatzeingaben!B2</f>
        <v>0</v>
      </c>
      <c r="C3" s="2108"/>
      <c r="D3" s="239" t="s">
        <v>33</v>
      </c>
      <c r="E3" s="338">
        <f>Zusatzeingaben!E2</f>
        <v>43344</v>
      </c>
      <c r="F3" s="263" t="s">
        <v>103</v>
      </c>
      <c r="G3" s="339">
        <f>Zusatzeingaben!F2</f>
        <v>43373</v>
      </c>
      <c r="H3" s="240"/>
      <c r="I3" s="241"/>
      <c r="J3" s="206"/>
      <c r="K3" s="206"/>
    </row>
    <row r="4" spans="1:11" ht="15" customHeight="1" thickBot="1">
      <c r="J4" s="206"/>
      <c r="K4" s="206"/>
    </row>
    <row r="5" spans="1:11" ht="23.25">
      <c r="A5" s="221"/>
      <c r="B5" s="345" t="s">
        <v>0</v>
      </c>
      <c r="C5" s="222"/>
      <c r="D5" s="222"/>
      <c r="E5" s="222"/>
      <c r="F5" s="222"/>
      <c r="G5" s="222"/>
      <c r="H5" s="222"/>
      <c r="I5" s="223"/>
    </row>
    <row r="6" spans="1:11" ht="20.25" customHeight="1">
      <c r="A6" s="224"/>
      <c r="B6" s="341" t="s">
        <v>1</v>
      </c>
      <c r="C6" s="341" t="str">
        <f>Zusatzeingaben!C4</f>
        <v>Antragsteller</v>
      </c>
      <c r="D6" s="341" t="str">
        <f>Zusatzeingaben!D4</f>
        <v>Partner(in)</v>
      </c>
      <c r="E6" s="341" t="str">
        <f>Zusatzeingaben!E4</f>
        <v>Kind 1</v>
      </c>
      <c r="F6" s="341" t="s">
        <v>8</v>
      </c>
      <c r="G6" s="341" t="s">
        <v>9</v>
      </c>
      <c r="H6" s="341" t="s">
        <v>10</v>
      </c>
      <c r="I6" s="342" t="s">
        <v>34</v>
      </c>
    </row>
    <row r="7" spans="1:11">
      <c r="A7" s="224" t="s">
        <v>35</v>
      </c>
      <c r="B7" s="300">
        <f>Zusatzeingaben!B6</f>
        <v>1</v>
      </c>
      <c r="C7" s="301">
        <f>Zusatzeingaben!C6</f>
        <v>0</v>
      </c>
      <c r="D7" s="301">
        <f>Zusatzeingaben!D6</f>
        <v>0</v>
      </c>
      <c r="E7" s="301">
        <f>Zusatzeingaben!E6</f>
        <v>0</v>
      </c>
      <c r="F7" s="301">
        <f>Zusatzeingaben!F6</f>
        <v>0</v>
      </c>
      <c r="G7" s="301">
        <f>Zusatzeingaben!G6</f>
        <v>0</v>
      </c>
      <c r="H7" s="301">
        <f>Zusatzeingaben!H6</f>
        <v>0</v>
      </c>
      <c r="I7" s="302">
        <f>Zusatzeingaben!I6</f>
        <v>0</v>
      </c>
    </row>
    <row r="8" spans="1:11" hidden="1">
      <c r="A8" s="224" t="s">
        <v>32</v>
      </c>
      <c r="B8" s="303"/>
      <c r="C8" s="304" t="str">
        <f>Zusatzeingaben!E7</f>
        <v>nein</v>
      </c>
      <c r="D8" s="304" t="str">
        <f>Zusatzeingaben!F7</f>
        <v>nein</v>
      </c>
      <c r="E8" s="304"/>
      <c r="F8" s="304"/>
      <c r="G8" s="304"/>
      <c r="H8" s="304"/>
      <c r="I8" s="305"/>
    </row>
    <row r="9" spans="1:11">
      <c r="A9" s="224" t="s">
        <v>3</v>
      </c>
      <c r="B9" s="306"/>
      <c r="C9" s="307">
        <f>Zusatzeingaben!C22</f>
        <v>0</v>
      </c>
      <c r="D9" s="307">
        <f>Zusatzeingaben!D22</f>
        <v>0</v>
      </c>
      <c r="E9" s="307">
        <f>IF(Zusatzeingaben!E16=0,Zusatzeingaben!E16,Zusatzeingaben!E22)</f>
        <v>0</v>
      </c>
      <c r="F9" s="307">
        <f>IF(Zusatzeingaben!F16=0,Zusatzeingaben!F16,Zusatzeingaben!F22)</f>
        <v>0</v>
      </c>
      <c r="G9" s="307">
        <f>IF(Zusatzeingaben!G16=0,Zusatzeingaben!G16,Zusatzeingaben!G22)</f>
        <v>0</v>
      </c>
      <c r="H9" s="307">
        <f>IF(Zusatzeingaben!H16=0,Zusatzeingaben!H16,Zusatzeingaben!H22)</f>
        <v>0</v>
      </c>
      <c r="I9" s="310">
        <f>IF(Zusatzeingaben!I16=0,Zusatzeingaben!I16,Zusatzeingaben!I22)</f>
        <v>0</v>
      </c>
    </row>
    <row r="10" spans="1:11" ht="17.25" thickBot="1">
      <c r="A10" s="225" t="s">
        <v>39</v>
      </c>
      <c r="B10" s="308"/>
      <c r="C10" s="347" t="str">
        <f>Zusatzeingaben!C35</f>
        <v>ja</v>
      </c>
      <c r="D10" s="347">
        <f>IF(Zusatzeingaben!D33&gt;0,Zusatzeingaben!D35,0)</f>
        <v>0</v>
      </c>
      <c r="E10" s="347">
        <f>IF(Zusatzeingaben!E33&gt;0,Zusatzeingaben!E35,0)</f>
        <v>0</v>
      </c>
      <c r="F10" s="347">
        <f>IF(Zusatzeingaben!F33&gt;0,Zusatzeingaben!F35,0)</f>
        <v>0</v>
      </c>
      <c r="G10" s="347">
        <f>IF(Zusatzeingaben!G33&gt;0,Zusatzeingaben!G35,0)</f>
        <v>0</v>
      </c>
      <c r="H10" s="347">
        <f>IF(Zusatzeingaben!H33&gt;0,Zusatzeingaben!H35,0)</f>
        <v>0</v>
      </c>
      <c r="I10" s="348">
        <f>IF(Zusatzeingaben!I33&gt;0,Zusatzeingaben!I35,0)</f>
        <v>0</v>
      </c>
    </row>
    <row r="11" spans="1:11">
      <c r="A11" s="360" t="s">
        <v>52</v>
      </c>
      <c r="B11" s="292">
        <f>SUM(C11:I11)</f>
        <v>416</v>
      </c>
      <c r="C11" s="293">
        <f>Zusatzeingaben!C33</f>
        <v>416</v>
      </c>
      <c r="D11" s="293">
        <f>Zusatzeingaben!D33</f>
        <v>0</v>
      </c>
      <c r="E11" s="293">
        <f>Zusatzeingaben!E33</f>
        <v>0</v>
      </c>
      <c r="F11" s="293">
        <f>Zusatzeingaben!F33</f>
        <v>0</v>
      </c>
      <c r="G11" s="293">
        <f>Zusatzeingaben!G33</f>
        <v>0</v>
      </c>
      <c r="H11" s="293">
        <f>Zusatzeingaben!H33</f>
        <v>0</v>
      </c>
      <c r="I11" s="294">
        <f>Zusatzeingaben!I33</f>
        <v>0</v>
      </c>
    </row>
    <row r="12" spans="1:11">
      <c r="A12" s="226" t="s">
        <v>19</v>
      </c>
      <c r="B12" s="62"/>
      <c r="C12" s="295"/>
      <c r="D12" s="295"/>
      <c r="E12" s="295"/>
      <c r="F12" s="295"/>
      <c r="G12" s="295"/>
      <c r="H12" s="295"/>
      <c r="I12" s="296"/>
    </row>
    <row r="13" spans="1:11">
      <c r="A13" s="408">
        <f>IF(B13&gt;0,"Schwangerschaft",0)</f>
        <v>0</v>
      </c>
      <c r="B13" s="284">
        <f t="shared" ref="B13:B19" si="0">SUM(C13:I13)</f>
        <v>0</v>
      </c>
      <c r="C13" s="62">
        <f>IF(OR(Zusatzeingaben!C37="",C10="nur Mehrbedarf"),0,Zusatzeingaben!C45)</f>
        <v>0</v>
      </c>
      <c r="D13" s="62">
        <f>IF(OR(Zusatzeingaben!D37="",D10="nur Mehrbedarf"),0,Zusatzeingaben!D45)</f>
        <v>0</v>
      </c>
      <c r="E13" s="62">
        <f>IF(Zusatzeingaben!E37="",0,Zusatzeingaben!E45)</f>
        <v>0</v>
      </c>
      <c r="F13" s="62"/>
      <c r="G13" s="62"/>
      <c r="H13" s="62"/>
      <c r="I13" s="110"/>
    </row>
    <row r="14" spans="1:11">
      <c r="A14" s="408">
        <f>IF(B14&gt;0,"Alleinerziehende",0)</f>
        <v>0</v>
      </c>
      <c r="B14" s="284">
        <f>C14</f>
        <v>0</v>
      </c>
      <c r="C14" s="62">
        <f>IF(C10="nur Mehrbedarf",0,Zusatzeingaben!B46)</f>
        <v>0</v>
      </c>
      <c r="D14" s="62"/>
      <c r="E14" s="62"/>
      <c r="F14" s="62"/>
      <c r="G14" s="62"/>
      <c r="H14" s="62"/>
      <c r="I14" s="110"/>
    </row>
    <row r="15" spans="1:11">
      <c r="A15" s="408">
        <f>IF(B15&gt;0,"behinderter Mensch, Teilhabe",0)</f>
        <v>0</v>
      </c>
      <c r="B15" s="284">
        <f t="shared" si="0"/>
        <v>0</v>
      </c>
      <c r="C15" s="62">
        <f>IF(Zusatzeingaben!C34="ja",Zusatzeingaben!C92,0)</f>
        <v>0</v>
      </c>
      <c r="D15" s="62">
        <f>IF(Zusatzeingaben!D34="ja",Zusatzeingaben!D92,0)</f>
        <v>0</v>
      </c>
      <c r="E15" s="62">
        <f>IF(Zusatzeingaben!E34="ja",Zusatzeingaben!E92,0)</f>
        <v>0</v>
      </c>
      <c r="F15" s="62">
        <f>IF(Zusatzeingaben!F34="ja",Zusatzeingaben!F92,0)</f>
        <v>0</v>
      </c>
      <c r="G15" s="62">
        <f>IF(Zusatzeingaben!G34="ja",Zusatzeingaben!G92,0)</f>
        <v>0</v>
      </c>
      <c r="H15" s="62">
        <f>IF(Zusatzeingaben!H34="ja",Zusatzeingaben!H92,0)</f>
        <v>0</v>
      </c>
      <c r="I15" s="110">
        <f>IF(Zusatzeingaben!I34="ja",Zusatzeingaben!I92,0)</f>
        <v>0</v>
      </c>
    </row>
    <row r="16" spans="1:11">
      <c r="A16" s="408">
        <f>IF(B16&gt;0,"kostenaufwändige Ernährung",0)</f>
        <v>0</v>
      </c>
      <c r="B16" s="284">
        <f t="shared" si="0"/>
        <v>0</v>
      </c>
      <c r="C16" s="62">
        <f>IF(C10="nur Mehrbedarf",0,Zusatzeingaben!C93)</f>
        <v>0</v>
      </c>
      <c r="D16" s="62">
        <f>IF(D10="nur Mehrbedarf",0,Zusatzeingaben!D93)</f>
        <v>0</v>
      </c>
      <c r="E16" s="62">
        <f>Zusatzeingaben!E93</f>
        <v>0</v>
      </c>
      <c r="F16" s="62">
        <f>Zusatzeingaben!F93</f>
        <v>0</v>
      </c>
      <c r="G16" s="62">
        <f>Zusatzeingaben!G93</f>
        <v>0</v>
      </c>
      <c r="H16" s="62">
        <f>Zusatzeingaben!H93</f>
        <v>0</v>
      </c>
      <c r="I16" s="110">
        <f>Zusatzeingaben!I93</f>
        <v>0</v>
      </c>
    </row>
    <row r="17" spans="1:11">
      <c r="A17" s="408">
        <f>IF(B17&gt;0,"unabweisbarer, lfd., besond. Bedarf",0)</f>
        <v>0</v>
      </c>
      <c r="B17" s="284">
        <f t="shared" si="0"/>
        <v>0</v>
      </c>
      <c r="C17" s="62">
        <f>IF(C10="nur Mehrbedarf",0,Zusatzeingaben!C94)</f>
        <v>0</v>
      </c>
      <c r="D17" s="62">
        <f>IF(D10="nur Mehrbedarf",0,Zusatzeingaben!D94)</f>
        <v>0</v>
      </c>
      <c r="E17" s="62">
        <f>Zusatzeingaben!E94</f>
        <v>0</v>
      </c>
      <c r="F17" s="62">
        <f>Zusatzeingaben!F94</f>
        <v>0</v>
      </c>
      <c r="G17" s="62">
        <f>Zusatzeingaben!G94</f>
        <v>0</v>
      </c>
      <c r="H17" s="62">
        <f>Zusatzeingaben!H94</f>
        <v>0</v>
      </c>
      <c r="I17" s="110">
        <f>Zusatzeingaben!I94</f>
        <v>0</v>
      </c>
    </row>
    <row r="18" spans="1:11">
      <c r="A18" s="408">
        <f>IF(B18&gt;0,"Warmwasser dezentral",0)</f>
        <v>0</v>
      </c>
      <c r="B18" s="284">
        <f t="shared" si="0"/>
        <v>0</v>
      </c>
      <c r="C18" s="62">
        <f>Zusatzeingaben!C98</f>
        <v>0</v>
      </c>
      <c r="D18" s="62">
        <f>Zusatzeingaben!D98</f>
        <v>0</v>
      </c>
      <c r="E18" s="62">
        <f>Zusatzeingaben!E98</f>
        <v>0</v>
      </c>
      <c r="F18" s="62">
        <f>Zusatzeingaben!F98</f>
        <v>0</v>
      </c>
      <c r="G18" s="62">
        <f>Zusatzeingaben!G98</f>
        <v>0</v>
      </c>
      <c r="H18" s="62">
        <f>Zusatzeingaben!H98</f>
        <v>0</v>
      </c>
      <c r="I18" s="110">
        <f>Zusatzeingaben!I98</f>
        <v>0</v>
      </c>
    </row>
    <row r="19" spans="1:11">
      <c r="A19" s="408">
        <f>IF(B19&gt;0,"erwerbsunfähig, Merkzeichen G",0)</f>
        <v>0</v>
      </c>
      <c r="B19" s="284">
        <f t="shared" si="0"/>
        <v>0</v>
      </c>
      <c r="C19" s="62">
        <f>IF(Zusatzeingaben!C34="nein",Zusatzeingaben!C100,0)</f>
        <v>0</v>
      </c>
      <c r="D19" s="62">
        <f>IF(Zusatzeingaben!D34="nein",Zusatzeingaben!D100,0)</f>
        <v>0</v>
      </c>
      <c r="E19" s="62">
        <f>IF(Zusatzeingaben!E34="nein",Zusatzeingaben!E100,0)</f>
        <v>0</v>
      </c>
      <c r="F19" s="62">
        <f>IF(Zusatzeingaben!F34="nein",Zusatzeingaben!F100,0)</f>
        <v>0</v>
      </c>
      <c r="G19" s="62">
        <f>IF(Zusatzeingaben!G34="nein",Zusatzeingaben!G100,0)</f>
        <v>0</v>
      </c>
      <c r="H19" s="62">
        <f>IF(Zusatzeingaben!H34="nein",Zusatzeingaben!H100,0)</f>
        <v>0</v>
      </c>
      <c r="I19" s="110">
        <f>IF(Zusatzeingaben!I34="nein",Zusatzeingaben!I100,0)</f>
        <v>0</v>
      </c>
    </row>
    <row r="20" spans="1:11" ht="18" customHeight="1">
      <c r="A20" s="228" t="s">
        <v>13</v>
      </c>
      <c r="B20" s="62"/>
      <c r="C20" s="309"/>
      <c r="D20" s="309"/>
      <c r="E20" s="309"/>
      <c r="F20" s="295"/>
      <c r="G20" s="295"/>
      <c r="H20" s="295"/>
      <c r="I20" s="296"/>
    </row>
    <row r="21" spans="1:11" hidden="1">
      <c r="A21" s="243"/>
      <c r="B21" s="62">
        <f>Zusatzeingaben!C102</f>
        <v>0</v>
      </c>
      <c r="C21" s="62">
        <f>B21/B7</f>
        <v>0</v>
      </c>
      <c r="D21" s="62">
        <f>IF(D9=0,0,B21/B7)</f>
        <v>0</v>
      </c>
      <c r="E21" s="62">
        <f>IF(Zusatzeingaben!E33=0,0,B21/B7)</f>
        <v>0</v>
      </c>
      <c r="F21" s="62">
        <f>IF(Zusatzeingaben!F33=0,0,B21/B7)</f>
        <v>0</v>
      </c>
      <c r="G21" s="62">
        <f>IF(Zusatzeingaben!G33=0,0,B21/B7)</f>
        <v>0</v>
      </c>
      <c r="H21" s="62">
        <f>IF(Zusatzeingaben!H33=0,0,B21/B7)</f>
        <v>0</v>
      </c>
      <c r="I21" s="110">
        <f>IF(Zusatzeingaben!I33=0,0,B21/B7)</f>
        <v>0</v>
      </c>
    </row>
    <row r="22" spans="1:11" hidden="1">
      <c r="A22" s="229"/>
      <c r="B22" s="62">
        <f>SUM(C22:I22)</f>
        <v>0</v>
      </c>
      <c r="C22" s="62">
        <f>C21</f>
        <v>0</v>
      </c>
      <c r="D22" s="62">
        <f>D21</f>
        <v>0</v>
      </c>
      <c r="E22" s="62">
        <f>IF(Zusatzeingaben!E8&gt;Zusatzeingaben!E2,E21*Zusatzeingaben!E14/30,IF(Zusatzeingaben!E18=25,E21*Zusatzeingaben!E10/30,E21))</f>
        <v>0</v>
      </c>
      <c r="F22" s="62">
        <f>IF(Zusatzeingaben!F8&gt;Zusatzeingaben!E2,F21*Zusatzeingaben!F14/30,IF(Zusatzeingaben!F18=25,F21*Zusatzeingaben!F10/30,F21))</f>
        <v>0</v>
      </c>
      <c r="G22" s="62">
        <f>IF(Zusatzeingaben!G8&gt;Zusatzeingaben!E2,G21*Zusatzeingaben!G14/30,IF(Zusatzeingaben!G18=25,G21*Zusatzeingaben!G10/30,G21))</f>
        <v>0</v>
      </c>
      <c r="H22" s="62">
        <f>IF(Zusatzeingaben!H8&gt;Zusatzeingaben!E2,H21*Zusatzeingaben!H14/30,IF(Zusatzeingaben!H18=25,H21*Zusatzeingaben!H10/30,H21))</f>
        <v>0</v>
      </c>
      <c r="I22" s="110">
        <f>IF(Zusatzeingaben!I8&gt;Zusatzeingaben!E2,I21*Zusatzeingaben!I14/30,IF(Zusatzeingaben!I18=25,I21*Zusatzeingaben!I10/30,I21))</f>
        <v>0</v>
      </c>
      <c r="K22" s="359">
        <f>COUNTIF(C22:I22,C22)</f>
        <v>7</v>
      </c>
    </row>
    <row r="23" spans="1:11" hidden="1">
      <c r="A23" s="243"/>
      <c r="B23" s="62">
        <f>SUM(C23:I23)</f>
        <v>0</v>
      </c>
      <c r="C23" s="62">
        <f>IF(AND(B22&lt;B21,C22=C21,C22&gt;0),C21+(B21-B22)/K22,C22)</f>
        <v>0</v>
      </c>
      <c r="D23" s="62">
        <f>IF(AND(B22&lt;B21,D22=D21,D22&gt;0),D21+(B21-B22)/K22,D22)</f>
        <v>0</v>
      </c>
      <c r="E23" s="62">
        <f>IF(AND(B22&lt;B21,E22=E21,E22&gt;0),E21+(B21-B22)/K22,E22)</f>
        <v>0</v>
      </c>
      <c r="F23" s="62">
        <f>IF(AND(B22&lt;B21,F22=F21,F22&gt;0),F21+(B21-B22)/K22,F22)</f>
        <v>0</v>
      </c>
      <c r="G23" s="62">
        <f>IF(AND(B22&lt;B21,G22=G21,G22&gt;0),G21+(B21-B22)/K22,G22)</f>
        <v>0</v>
      </c>
      <c r="H23" s="62">
        <f>IF(AND(B22&lt;B21,H22=H21,H22&gt;0),H21+(B21-B22)/K22,H22)</f>
        <v>0</v>
      </c>
      <c r="I23" s="110">
        <f>IF(AND(B22&lt;B21,I22=I21,I22&gt;0),I21+(B21-B22)/K22,I22)</f>
        <v>0</v>
      </c>
    </row>
    <row r="24" spans="1:11">
      <c r="A24" s="409">
        <f>IF(B24&gt;0,Zusatzeingaben!A102,0)</f>
        <v>0</v>
      </c>
      <c r="B24" s="284">
        <f>SUM(C24:I24)</f>
        <v>0</v>
      </c>
      <c r="C24" s="62">
        <f>IF(Zusatzeingaben!$K$18&gt;0,C22,C23)</f>
        <v>0</v>
      </c>
      <c r="D24" s="62">
        <f>IF(Zusatzeingaben!$K$18&gt;0,D22,D23)</f>
        <v>0</v>
      </c>
      <c r="E24" s="62">
        <f>IF(Zusatzeingaben!$K$18&gt;0,E22,E23)</f>
        <v>0</v>
      </c>
      <c r="F24" s="62">
        <f>IF(Zusatzeingaben!$K$18&gt;0,F22,F23)</f>
        <v>0</v>
      </c>
      <c r="G24" s="62">
        <f>IF(Zusatzeingaben!$K$18&gt;0,G22,G23)</f>
        <v>0</v>
      </c>
      <c r="H24" s="62">
        <f>IF(Zusatzeingaben!$K$18&gt;0,H22,H23)</f>
        <v>0</v>
      </c>
      <c r="I24" s="110">
        <f>IF(Zusatzeingaben!$K$18&gt;0,I22,I23)</f>
        <v>0</v>
      </c>
    </row>
    <row r="25" spans="1:11" hidden="1">
      <c r="A25" s="410" t="str">
        <f>Zusatzeingaben!A103</f>
        <v>weitere Kosten</v>
      </c>
      <c r="B25" s="62">
        <f>Zusatzeingaben!C103</f>
        <v>0</v>
      </c>
      <c r="C25" s="62">
        <f>B25/B7</f>
        <v>0</v>
      </c>
      <c r="D25" s="62">
        <f>IF(D9="",0,B25/B7)</f>
        <v>0</v>
      </c>
      <c r="E25" s="62">
        <f>IF(E9="",0,B25/B7)</f>
        <v>0</v>
      </c>
      <c r="F25" s="62">
        <f>IF(F9="",0,B25/B7)</f>
        <v>0</v>
      </c>
      <c r="G25" s="62">
        <f>IF(G9="",0,B25/B7)</f>
        <v>0</v>
      </c>
      <c r="H25" s="62">
        <f>IF(H9="",0,B25/B7)</f>
        <v>0</v>
      </c>
      <c r="I25" s="110">
        <f>IF(I9="",0,B25/B7)</f>
        <v>0</v>
      </c>
    </row>
    <row r="26" spans="1:11" hidden="1">
      <c r="A26" s="411"/>
      <c r="B26" s="62">
        <f>Zusatzeingaben!C104</f>
        <v>0</v>
      </c>
      <c r="C26" s="62">
        <f>B26/B7</f>
        <v>0</v>
      </c>
      <c r="D26" s="62">
        <f>IF(D9=0,0,B26/B7)</f>
        <v>0</v>
      </c>
      <c r="E26" s="62">
        <f>IF(Zusatzeingaben!E33=0,0,B26/B7)</f>
        <v>0</v>
      </c>
      <c r="F26" s="62">
        <f>IF(Zusatzeingaben!F33=0,0,B26/B7)</f>
        <v>0</v>
      </c>
      <c r="G26" s="62">
        <f>IF(Zusatzeingaben!G33=0,0,B26/B7)</f>
        <v>0</v>
      </c>
      <c r="H26" s="62">
        <f>IF(Zusatzeingaben!H33=0,0,B26/B7)</f>
        <v>0</v>
      </c>
      <c r="I26" s="110">
        <f>IF(Zusatzeingaben!I33=0,0,B26/B7)</f>
        <v>0</v>
      </c>
    </row>
    <row r="27" spans="1:11" hidden="1">
      <c r="A27" s="409"/>
      <c r="B27" s="62">
        <f>SUM(C27:I27)</f>
        <v>0</v>
      </c>
      <c r="C27" s="62">
        <f>C26</f>
        <v>0</v>
      </c>
      <c r="D27" s="62">
        <f>D26</f>
        <v>0</v>
      </c>
      <c r="E27" s="62">
        <f>IF(Zusatzeingaben!E8&gt;Zusatzeingaben!E2,E26*Zusatzeingaben!E14/30,IF(Zusatzeingaben!E18=25,E26*Zusatzeingaben!E10/30,E26))</f>
        <v>0</v>
      </c>
      <c r="F27" s="62">
        <f>IF(Zusatzeingaben!F8&gt;Zusatzeingaben!E2,F26*Zusatzeingaben!F14/30,IF(Zusatzeingaben!F18=25,F26*Zusatzeingaben!F10/30,F26))</f>
        <v>0</v>
      </c>
      <c r="G27" s="62">
        <f>IF(Zusatzeingaben!G8&gt;Zusatzeingaben!E2,G26*Zusatzeingaben!G14/30,IF(Zusatzeingaben!G18=25,G26*Zusatzeingaben!G10/30,G26))</f>
        <v>0</v>
      </c>
      <c r="H27" s="62">
        <f>IF(Zusatzeingaben!H8&gt;Zusatzeingaben!E2,H26*Zusatzeingaben!H14/30,IF(Zusatzeingaben!H18=25,H26*Zusatzeingaben!H10/30,H26))</f>
        <v>0</v>
      </c>
      <c r="I27" s="110">
        <f>IF(Zusatzeingaben!I8&gt;Zusatzeingaben!E2,I26*Zusatzeingaben!I14/30,IF(Zusatzeingaben!I18=25,I26*Zusatzeingaben!I10/30,I26))</f>
        <v>0</v>
      </c>
      <c r="K27" s="359">
        <f>COUNTIF(C27:I27,C27)</f>
        <v>7</v>
      </c>
    </row>
    <row r="28" spans="1:11" hidden="1">
      <c r="A28" s="411"/>
      <c r="B28" s="62">
        <f>SUM(C28:I28)</f>
        <v>0</v>
      </c>
      <c r="C28" s="62">
        <f>IF(AND(B27&lt;B26,C27=C26,C27&gt;0),C26+(B26-B27)/K27,C27)</f>
        <v>0</v>
      </c>
      <c r="D28" s="62">
        <f>IF(AND(B27&lt;B26,D27=D26,D27&gt;0),D26+(B26-B27)/K27,D27)</f>
        <v>0</v>
      </c>
      <c r="E28" s="62">
        <f>IF(AND(B27&lt;B26,E27=E26,E27&gt;0),E26+(B26-B27)/K27,E27)</f>
        <v>0</v>
      </c>
      <c r="F28" s="62">
        <f>IF(AND(B27&lt;B26,F27=F26,F27&gt;0),F26+(B26-B27)/K27,F27)</f>
        <v>0</v>
      </c>
      <c r="G28" s="62">
        <f>IF(AND(B27&lt;B26,G27=G26,G27&gt;0),G26+(B26-B27)/K27,G27)</f>
        <v>0</v>
      </c>
      <c r="H28" s="62">
        <f>IF(AND(B27&lt;B26,H27=H26,H27&gt;0),H26+(B26-B27)/K27,H27)</f>
        <v>0</v>
      </c>
      <c r="I28" s="110">
        <f>IF(AND(B27&lt;B26,I27=I26,I27&gt;0),I26+(B26-B27)/K27,I27)</f>
        <v>0</v>
      </c>
    </row>
    <row r="29" spans="1:11">
      <c r="A29" s="409">
        <f>IF(B29&gt;0,Zusatzeingaben!A104,0)</f>
        <v>0</v>
      </c>
      <c r="B29" s="284">
        <f>SUM(C29:I29)</f>
        <v>0</v>
      </c>
      <c r="C29" s="62">
        <f>IF(Zusatzeingaben!$K$18&gt;0,C27,C28)</f>
        <v>0</v>
      </c>
      <c r="D29" s="62">
        <f>IF(Zusatzeingaben!$K$18&gt;0,D27,D28)</f>
        <v>0</v>
      </c>
      <c r="E29" s="62">
        <f>IF(Zusatzeingaben!$K$18&gt;0,E27,E28)</f>
        <v>0</v>
      </c>
      <c r="F29" s="62">
        <f>IF(Zusatzeingaben!$K$18&gt;0,F27,F28)</f>
        <v>0</v>
      </c>
      <c r="G29" s="62">
        <f>IF(Zusatzeingaben!$K$18&gt;0,G27,G28)</f>
        <v>0</v>
      </c>
      <c r="H29" s="62">
        <f>IF(Zusatzeingaben!$K$18&gt;0,H27,H28)</f>
        <v>0</v>
      </c>
      <c r="I29" s="110">
        <f>IF(Zusatzeingaben!$K$18&gt;0,I27,I28)</f>
        <v>0</v>
      </c>
    </row>
    <row r="30" spans="1:11" hidden="1">
      <c r="A30" s="411"/>
      <c r="B30" s="62">
        <f>Zusatzeingaben!C105</f>
        <v>0</v>
      </c>
      <c r="C30" s="62">
        <f>B30/B7</f>
        <v>0</v>
      </c>
      <c r="D30" s="62">
        <f>IF(D9=0,0,B30/B7)</f>
        <v>0</v>
      </c>
      <c r="E30" s="62">
        <f>IF(Zusatzeingaben!E33=0,0,B30/B7)</f>
        <v>0</v>
      </c>
      <c r="F30" s="62">
        <f>IF(Zusatzeingaben!F33=0,0,B30/B7)</f>
        <v>0</v>
      </c>
      <c r="G30" s="62">
        <f>IF(Zusatzeingaben!G33=0,0,B30/B7)</f>
        <v>0</v>
      </c>
      <c r="H30" s="62">
        <f>IF(Zusatzeingaben!H33=0,0,B30/B7)</f>
        <v>0</v>
      </c>
      <c r="I30" s="110">
        <f>IF(Zusatzeingaben!I33=0,0,B30/B7)</f>
        <v>0</v>
      </c>
    </row>
    <row r="31" spans="1:11" hidden="1">
      <c r="A31" s="409"/>
      <c r="B31" s="62">
        <f>SUM(C31:I31)</f>
        <v>0</v>
      </c>
      <c r="C31" s="62">
        <f>C30</f>
        <v>0</v>
      </c>
      <c r="D31" s="62">
        <f>D30</f>
        <v>0</v>
      </c>
      <c r="E31" s="62">
        <f>IF(Zusatzeingaben!E8&gt;Zusatzeingaben!E2,E30*Zusatzeingaben!E14/30,IF(Zusatzeingaben!E18=25,E30*Zusatzeingaben!E10/30,E30))</f>
        <v>0</v>
      </c>
      <c r="F31" s="62">
        <f>IF(Zusatzeingaben!F8&gt;Zusatzeingaben!E2,F30*Zusatzeingaben!F14/30,IF(Zusatzeingaben!F18=25,F30*Zusatzeingaben!F10/30,F30))</f>
        <v>0</v>
      </c>
      <c r="G31" s="62">
        <f>IF(Zusatzeingaben!G8&gt;Zusatzeingaben!E2,G30*Zusatzeingaben!G14/30,IF(Zusatzeingaben!G18=25,G30*Zusatzeingaben!G10/30,G30))</f>
        <v>0</v>
      </c>
      <c r="H31" s="62">
        <f>IF(Zusatzeingaben!H8&gt;Zusatzeingaben!E2,H30*Zusatzeingaben!H14/30,IF(Zusatzeingaben!H18=25,H30*Zusatzeingaben!H10/30,H30))</f>
        <v>0</v>
      </c>
      <c r="I31" s="110">
        <f>IF(Zusatzeingaben!I8&gt;Zusatzeingaben!E2,I30*Zusatzeingaben!I14/30,IF(Zusatzeingaben!I18=25,I30*Zusatzeingaben!I10/30,I30))</f>
        <v>0</v>
      </c>
      <c r="K31" s="359">
        <f>COUNTIF(C31:I31,C31)</f>
        <v>7</v>
      </c>
    </row>
    <row r="32" spans="1:11" hidden="1">
      <c r="A32" s="411"/>
      <c r="B32" s="62">
        <f>SUM(C32:I32)</f>
        <v>0</v>
      </c>
      <c r="C32" s="62">
        <f>IF(AND(B31&lt;B30,C31=C30,C31&gt;0),C30+(B30-B31)/K31,C31)</f>
        <v>0</v>
      </c>
      <c r="D32" s="62">
        <f>IF(AND(B31&lt;B30,D31=D30,D31&gt;0),D30+(B30-B31)/K31,D31)</f>
        <v>0</v>
      </c>
      <c r="E32" s="62">
        <f>IF(AND(B31&lt;B30,E31=E30,E31&gt;0),E30+(B30-B31)/K31,E31)</f>
        <v>0</v>
      </c>
      <c r="F32" s="62">
        <f>IF(AND(B31&lt;B30,F31=F30,F31&gt;0),F30+(B30-B31)/K31,F31)</f>
        <v>0</v>
      </c>
      <c r="G32" s="62">
        <f>IF(AND(B31&lt;B30,G31=G30,G31&gt;0),G30+(B30-B31)/K31,G31)</f>
        <v>0</v>
      </c>
      <c r="H32" s="62">
        <f>IF(AND(B31&lt;B30,H31=H30,H31&gt;0),H30+(B30-B31)/K31,H31)</f>
        <v>0</v>
      </c>
      <c r="I32" s="110">
        <f>IF(AND(B31&lt;B30,I31=I30,I31&gt;0),I30+(B30-B31)/K31,I31)</f>
        <v>0</v>
      </c>
    </row>
    <row r="33" spans="1:11">
      <c r="A33" s="409">
        <f>IF(B33&gt;0,Zusatzeingaben!A105,0)</f>
        <v>0</v>
      </c>
      <c r="B33" s="284">
        <f>SUM(C33:I33)</f>
        <v>0</v>
      </c>
      <c r="C33" s="62">
        <f>IF(Zusatzeingaben!$K$18&gt;0,C31,C32)</f>
        <v>0</v>
      </c>
      <c r="D33" s="62">
        <f>IF(Zusatzeingaben!$K$18&gt;0,D31,D32)</f>
        <v>0</v>
      </c>
      <c r="E33" s="62">
        <f>IF(Zusatzeingaben!$K$18&gt;0,E31,E32)</f>
        <v>0</v>
      </c>
      <c r="F33" s="62">
        <f>IF(Zusatzeingaben!$K$18&gt;0,F31,F32)</f>
        <v>0</v>
      </c>
      <c r="G33" s="62">
        <f>IF(Zusatzeingaben!$K$18&gt;0,G31,G32)</f>
        <v>0</v>
      </c>
      <c r="H33" s="62">
        <f>IF(Zusatzeingaben!$K$18&gt;0,H31,H32)</f>
        <v>0</v>
      </c>
      <c r="I33" s="110">
        <f>IF(Zusatzeingaben!$K$18&gt;0,I31,I32)</f>
        <v>0</v>
      </c>
    </row>
    <row r="34" spans="1:11" hidden="1">
      <c r="A34" s="411"/>
      <c r="B34" s="62">
        <f>Zusatzeingaben!C106</f>
        <v>0</v>
      </c>
      <c r="C34" s="62">
        <f>B34/B7</f>
        <v>0</v>
      </c>
      <c r="D34" s="62">
        <f>IF(D9=0,0,B34/B7)</f>
        <v>0</v>
      </c>
      <c r="E34" s="62">
        <f>IF(Zusatzeingaben!E33=0,0,B34/B7)</f>
        <v>0</v>
      </c>
      <c r="F34" s="62">
        <f>IF(Zusatzeingaben!F33=0,0,B34/B7)</f>
        <v>0</v>
      </c>
      <c r="G34" s="62">
        <f>IF(Zusatzeingaben!G33=0,0,B34/B7)</f>
        <v>0</v>
      </c>
      <c r="H34" s="62">
        <f>IF(Zusatzeingaben!H33=0,0,B34/B7)</f>
        <v>0</v>
      </c>
      <c r="I34" s="110">
        <f>IF(Zusatzeingaben!I33=0,0,B34/B7)</f>
        <v>0</v>
      </c>
    </row>
    <row r="35" spans="1:11" hidden="1">
      <c r="A35" s="409"/>
      <c r="B35" s="62">
        <f t="shared" ref="B35:B42" si="1">SUM(C35:I35)</f>
        <v>0</v>
      </c>
      <c r="C35" s="62">
        <f>C34</f>
        <v>0</v>
      </c>
      <c r="D35" s="62">
        <f>D34</f>
        <v>0</v>
      </c>
      <c r="E35" s="62">
        <f>IF(Zusatzeingaben!E8&gt;Zusatzeingaben!E2,E34*Zusatzeingaben!E14/30,IF(Zusatzeingaben!E18=25,E34*Zusatzeingaben!E10/30,E34))</f>
        <v>0</v>
      </c>
      <c r="F35" s="62">
        <f>IF(Zusatzeingaben!F8&gt;Zusatzeingaben!E2,F34*Zusatzeingaben!F14/30,IF(Zusatzeingaben!F18=25,F34*Zusatzeingaben!F10/30,F34))</f>
        <v>0</v>
      </c>
      <c r="G35" s="62">
        <f>IF(Zusatzeingaben!G8&gt;Zusatzeingaben!E2,G34*Zusatzeingaben!G14/30,IF(Zusatzeingaben!G18=25,G34*Zusatzeingaben!G10/30,G34))</f>
        <v>0</v>
      </c>
      <c r="H35" s="62">
        <f>IF(Zusatzeingaben!H8&gt;Zusatzeingaben!E2,H34*Zusatzeingaben!H14/30,IF(Zusatzeingaben!H18=25,H34*Zusatzeingaben!H10/30,H34))</f>
        <v>0</v>
      </c>
      <c r="I35" s="110">
        <f>IF(Zusatzeingaben!I8&gt;Zusatzeingaben!E2,I34*Zusatzeingaben!I14/30,IF(Zusatzeingaben!I18=25,I34*Zusatzeingaben!I10/30,I34))</f>
        <v>0</v>
      </c>
      <c r="K35" s="359">
        <f>COUNTIF(C35:I35,C35)</f>
        <v>7</v>
      </c>
    </row>
    <row r="36" spans="1:11" hidden="1">
      <c r="A36" s="411"/>
      <c r="B36" s="62">
        <f t="shared" si="1"/>
        <v>0</v>
      </c>
      <c r="C36" s="62">
        <f>IF(AND(B35&lt;B34,C35=C34,C35&gt;0),C34+(B34-B35)/K35,C35)</f>
        <v>0</v>
      </c>
      <c r="D36" s="62">
        <f>IF(AND(B35&lt;B34,D35=D34,D35&gt;0),D34+(B34-B35)/K35,D35)</f>
        <v>0</v>
      </c>
      <c r="E36" s="62">
        <f>IF(AND(B35&lt;B34,E35=E34,E35&gt;0),E34+(B34-B35)/K35,E35)</f>
        <v>0</v>
      </c>
      <c r="F36" s="62">
        <f>IF(AND(B35&lt;B34,F35=F34,F35&gt;0),F34+(B34-B35)/K35,F35)</f>
        <v>0</v>
      </c>
      <c r="G36" s="62">
        <f>IF(AND(B35&lt;B34,G35=G34,G35&gt;0),G34+(B34-B35)/K35,G35)</f>
        <v>0</v>
      </c>
      <c r="H36" s="62">
        <f>IF(AND(B35&lt;B34,H35=H34,H35&gt;0),H34+(B34-B35)/K35,H35)</f>
        <v>0</v>
      </c>
      <c r="I36" s="110">
        <f>IF(AND(B35&lt;B34,I35=I34,I35&gt;0),I34+(B34-B35)/K35,I35)</f>
        <v>0</v>
      </c>
    </row>
    <row r="37" spans="1:11">
      <c r="A37" s="409">
        <f>IF(B37&gt;0,Zusatzeingaben!A106,0)</f>
        <v>0</v>
      </c>
      <c r="B37" s="284">
        <f t="shared" si="1"/>
        <v>0</v>
      </c>
      <c r="C37" s="62">
        <f>IF(Zusatzeingaben!$K$18&gt;0,C35,C36)</f>
        <v>0</v>
      </c>
      <c r="D37" s="62">
        <f>IF(Zusatzeingaben!$K$18&gt;0,D35,D36)</f>
        <v>0</v>
      </c>
      <c r="E37" s="62">
        <f>IF(Zusatzeingaben!$K$18&gt;0,E35,E36)</f>
        <v>0</v>
      </c>
      <c r="F37" s="62">
        <f>IF(Zusatzeingaben!$K$18&gt;0,F35,F36)</f>
        <v>0</v>
      </c>
      <c r="G37" s="62">
        <f>IF(Zusatzeingaben!$K$18&gt;0,G35,G36)</f>
        <v>0</v>
      </c>
      <c r="H37" s="62">
        <f>IF(Zusatzeingaben!$K$18&gt;0,H35,H36)</f>
        <v>0</v>
      </c>
      <c r="I37" s="110">
        <f>IF(Zusatzeingaben!$K$18&gt;0,I35,I36)</f>
        <v>0</v>
      </c>
    </row>
    <row r="38" spans="1:11" hidden="1">
      <c r="A38" s="409"/>
      <c r="B38" s="62">
        <f t="shared" si="1"/>
        <v>0</v>
      </c>
      <c r="C38" s="62">
        <f>Zusatzeingaben!C114</f>
        <v>0</v>
      </c>
      <c r="D38" s="62">
        <f>Zusatzeingaben!D114</f>
        <v>0</v>
      </c>
      <c r="E38" s="62">
        <f>Zusatzeingaben!E114</f>
        <v>0</v>
      </c>
      <c r="F38" s="62">
        <f>Zusatzeingaben!F114</f>
        <v>0</v>
      </c>
      <c r="G38" s="62">
        <f>Zusatzeingaben!G114</f>
        <v>0</v>
      </c>
      <c r="H38" s="62">
        <f>Zusatzeingaben!H114</f>
        <v>0</v>
      </c>
      <c r="I38" s="110">
        <f>Zusatzeingaben!I114</f>
        <v>0</v>
      </c>
    </row>
    <row r="39" spans="1:11" hidden="1">
      <c r="A39" s="409"/>
      <c r="B39" s="62">
        <f t="shared" si="1"/>
        <v>0</v>
      </c>
      <c r="C39" s="62">
        <f>C38</f>
        <v>0</v>
      </c>
      <c r="D39" s="62">
        <f>D38</f>
        <v>0</v>
      </c>
      <c r="E39" s="62">
        <f>IF(Zusatzeingaben!E8&gt;Zusatzeingaben!$E$2,E38*Zusatzeingaben!E14/30,IF(Zusatzeingaben!E18=25,E38*Zusatzeingaben!E10/30,E38))</f>
        <v>0</v>
      </c>
      <c r="F39" s="62">
        <f>IF(Zusatzeingaben!F8&gt;Zusatzeingaben!$E$2,F38*Zusatzeingaben!F14/30,IF(Zusatzeingaben!F18=25,F38*Zusatzeingaben!F10/30,F38))</f>
        <v>0</v>
      </c>
      <c r="G39" s="62">
        <f>IF(Zusatzeingaben!G8&gt;Zusatzeingaben!$E$2,G38*Zusatzeingaben!G14/30,IF(Zusatzeingaben!G18=25,G38*Zusatzeingaben!G10/30,G38))</f>
        <v>0</v>
      </c>
      <c r="H39" s="62">
        <f>IF(Zusatzeingaben!H8&gt;Zusatzeingaben!$E$2,H38*Zusatzeingaben!H14/30,IF(Zusatzeingaben!H18=25,H38*Zusatzeingaben!H10/30,H38))</f>
        <v>0</v>
      </c>
      <c r="I39" s="110">
        <f>IF(Zusatzeingaben!I8&gt;Zusatzeingaben!$E$2,I38*Zusatzeingaben!I14/30,IF(Zusatzeingaben!I18=25,I38*Zusatzeingaben!I10/30,I38))</f>
        <v>0</v>
      </c>
      <c r="K39" s="359">
        <f>COUNTIF(C39:I39,C39)</f>
        <v>7</v>
      </c>
    </row>
    <row r="40" spans="1:11" hidden="1">
      <c r="A40" s="409"/>
      <c r="B40" s="62">
        <f t="shared" si="1"/>
        <v>0</v>
      </c>
      <c r="C40" s="62">
        <f>IF(AND(B39&lt;B38,C39=C38,C39&gt;0),C38+(B38-B39)/K39,C39)</f>
        <v>0</v>
      </c>
      <c r="D40" s="62">
        <f>IF(AND(B39&lt;B38,D39=D38,D39&gt;0),D38+(B38-B39)/K39,D39)</f>
        <v>0</v>
      </c>
      <c r="E40" s="62">
        <f>IF(AND(B39&lt;B38,E39=E38,E39&gt;0),E38+(B38-B39)/K39,E39)</f>
        <v>0</v>
      </c>
      <c r="F40" s="62">
        <f>IF(AND(B39&lt;B38,F39=F38,F39&gt;0),F38+(B38-B39)/K39,F39)</f>
        <v>0</v>
      </c>
      <c r="G40" s="62">
        <f>IF(AND(B39&lt;B38,G39=G38,G39&gt;0),G38+(B38-B39)/K39,G39)</f>
        <v>0</v>
      </c>
      <c r="H40" s="62">
        <f>IF(AND(B39&lt;B38,H39=H38,H39&gt;0),H38+(B38-B39)/K39,H39)</f>
        <v>0</v>
      </c>
      <c r="I40" s="110">
        <f>IF(AND(B39&lt;B38,I39=I38,I39&gt;0),I38+(B38-B39)/K39,I39)</f>
        <v>0</v>
      </c>
    </row>
    <row r="41" spans="1:11" hidden="1">
      <c r="A41" s="411"/>
      <c r="B41" s="62">
        <f t="shared" si="1"/>
        <v>0</v>
      </c>
      <c r="C41" s="62">
        <f>IF(Zusatzeingaben!$B$107&gt;0,C40,Zusatzeingaben!C114)</f>
        <v>0</v>
      </c>
      <c r="D41" s="62">
        <f>IF(Zusatzeingaben!$B$107&gt;0,D40,Zusatzeingaben!D114)</f>
        <v>0</v>
      </c>
      <c r="E41" s="62">
        <f>IF(Zusatzeingaben!$B$107&gt;0,E40,Zusatzeingaben!E114)</f>
        <v>0</v>
      </c>
      <c r="F41" s="62">
        <f>IF(Zusatzeingaben!$B$107&gt;0,F40,Zusatzeingaben!F114)</f>
        <v>0</v>
      </c>
      <c r="G41" s="62">
        <f>IF(Zusatzeingaben!$B$107&gt;0,G40,Zusatzeingaben!G114)</f>
        <v>0</v>
      </c>
      <c r="H41" s="62">
        <f>IF(Zusatzeingaben!$B$107&gt;0,H40,Zusatzeingaben!H114)</f>
        <v>0</v>
      </c>
      <c r="I41" s="110">
        <f>IF(Zusatzeingaben!$B$107&gt;0,I40,Zusatzeingaben!I114)</f>
        <v>0</v>
      </c>
    </row>
    <row r="42" spans="1:11">
      <c r="A42" s="409">
        <f>IF(B42&gt;0,"./. Kostenanteil für Haushaltsstrom",0)</f>
        <v>0</v>
      </c>
      <c r="B42" s="284">
        <f t="shared" si="1"/>
        <v>0</v>
      </c>
      <c r="C42" s="62">
        <f>IF(AND(Zusatzeingaben!$K$18&gt;0,Zusatzeingaben!$B$107&gt;0),C39,C41)</f>
        <v>0</v>
      </c>
      <c r="D42" s="62">
        <f>IF(AND(Zusatzeingaben!$K$18&gt;0,Zusatzeingaben!$B$107&gt;0),D39,D41)</f>
        <v>0</v>
      </c>
      <c r="E42" s="62">
        <f>IF(AND(Zusatzeingaben!$K$18&gt;0,Zusatzeingaben!$B$107&gt;0),E39,E41)</f>
        <v>0</v>
      </c>
      <c r="F42" s="62">
        <f>IF(AND(Zusatzeingaben!$K$18&gt;0,Zusatzeingaben!$B$107&gt;0),F39,F41)</f>
        <v>0</v>
      </c>
      <c r="G42" s="62">
        <f>IF(AND(Zusatzeingaben!$K$18&gt;0,Zusatzeingaben!$B$107&gt;0),G39,G41)</f>
        <v>0</v>
      </c>
      <c r="H42" s="62">
        <f>IF(AND(Zusatzeingaben!$K$18&gt;0,Zusatzeingaben!$B$107&gt;0),H39,H41)</f>
        <v>0</v>
      </c>
      <c r="I42" s="110">
        <f>IF(AND(Zusatzeingaben!$K$18&gt;0,Zusatzeingaben!$B$107&gt;0),I39,I41)</f>
        <v>0</v>
      </c>
    </row>
    <row r="43" spans="1:11" hidden="1">
      <c r="A43" s="411"/>
      <c r="B43" s="62">
        <f>Zusatzeingaben!C115</f>
        <v>0</v>
      </c>
      <c r="C43" s="62">
        <f>B43/B7</f>
        <v>0</v>
      </c>
      <c r="D43" s="62">
        <f>IF(D9=0,0,B43/B7)</f>
        <v>0</v>
      </c>
      <c r="E43" s="62">
        <f>IF(Zusatzeingaben!E33=0,0,B43/B7)</f>
        <v>0</v>
      </c>
      <c r="F43" s="62">
        <f>IF(Zusatzeingaben!F33=0,0,B43/B7)</f>
        <v>0</v>
      </c>
      <c r="G43" s="62">
        <f>IF(Zusatzeingaben!G33=0,0,B43/B7)</f>
        <v>0</v>
      </c>
      <c r="H43" s="62">
        <f>IF(Zusatzeingaben!H33=0,0,B43/B7)</f>
        <v>0</v>
      </c>
      <c r="I43" s="110">
        <f>IF(Zusatzeingaben!I33=0,0,B43/B7)</f>
        <v>0</v>
      </c>
    </row>
    <row r="44" spans="1:11" hidden="1">
      <c r="A44" s="409"/>
      <c r="B44" s="62">
        <f>SUM(C44:I44)</f>
        <v>0</v>
      </c>
      <c r="C44" s="62">
        <f>C43</f>
        <v>0</v>
      </c>
      <c r="D44" s="62">
        <f>D43</f>
        <v>0</v>
      </c>
      <c r="E44" s="62">
        <f>IF(Zusatzeingaben!E8&gt;Zusatzeingaben!E2,E43*Zusatzeingaben!E14/30,IF(Zusatzeingaben!E18=25,E43*Zusatzeingaben!E10/30,E43))</f>
        <v>0</v>
      </c>
      <c r="F44" s="62">
        <f>IF(Zusatzeingaben!F8&gt;Zusatzeingaben!E2,F43*Zusatzeingaben!F14/30,IF(Zusatzeingaben!F18=25,F43*Zusatzeingaben!F10/30,F43))</f>
        <v>0</v>
      </c>
      <c r="G44" s="62">
        <f>IF(Zusatzeingaben!G8&gt;Zusatzeingaben!E2,G43*Zusatzeingaben!G14/30,IF(Zusatzeingaben!G18=25,G43*Zusatzeingaben!G10/30,G43))</f>
        <v>0</v>
      </c>
      <c r="H44" s="62">
        <f>IF(Zusatzeingaben!H8&gt;Zusatzeingaben!E2,H43*Zusatzeingaben!H14/30,IF(Zusatzeingaben!H18=25,H43*Zusatzeingaben!H10/30,H43))</f>
        <v>0</v>
      </c>
      <c r="I44" s="110">
        <f>IF(Zusatzeingaben!I8&gt;Zusatzeingaben!E2,I43*Zusatzeingaben!I14/30,IF(Zusatzeingaben!I18=25,I43*Zusatzeingaben!I10/30,I43))</f>
        <v>0</v>
      </c>
      <c r="K44" s="359">
        <f>COUNTIF(C44:I44,C44)</f>
        <v>7</v>
      </c>
    </row>
    <row r="45" spans="1:11" hidden="1">
      <c r="A45" s="411"/>
      <c r="B45" s="62">
        <f>SUM(C45:I45)</f>
        <v>0</v>
      </c>
      <c r="C45" s="62">
        <f>IF(AND(B44&lt;B43,C44=C43,C44&gt;0),C43+(B43-B44)/K44,C44)</f>
        <v>0</v>
      </c>
      <c r="D45" s="62">
        <f>IF(AND(B44&lt;B43,D44=D43,D44&gt;0),D43+(B43-B44)/K44,D44)</f>
        <v>0</v>
      </c>
      <c r="E45" s="62">
        <f>IF(AND(B44&lt;B43,E44=E43,E44&gt;0),E43+(B43-B44)/K44,E44)</f>
        <v>0</v>
      </c>
      <c r="F45" s="62">
        <f>IF(AND(B44&lt;B43,F44=F43,F44&gt;0),F43+(B43-B44)/K44,F44)</f>
        <v>0</v>
      </c>
      <c r="G45" s="62">
        <f>IF(AND(B44&lt;B43,G44=G43,G44&gt;0),G43+(B43-B44)/K44,G44)</f>
        <v>0</v>
      </c>
      <c r="H45" s="62">
        <f>IF(AND(B44&lt;B43,H44=H43,H44&gt;0),H43+(B43-B44)/K44,H44)</f>
        <v>0</v>
      </c>
      <c r="I45" s="110">
        <f>IF(AND(B44&lt;B43,I44=I43,I44&gt;0),I43+(B43-B44)/K44,I44)</f>
        <v>0</v>
      </c>
    </row>
    <row r="46" spans="1:11">
      <c r="A46" s="409">
        <f>IF(B46&gt;0,"Heizkosten",0)</f>
        <v>0</v>
      </c>
      <c r="B46" s="284">
        <f>SUM(C46:I46)</f>
        <v>0</v>
      </c>
      <c r="C46" s="62">
        <f>IF(Zusatzeingaben!$K$18&gt;0,C44,C45)</f>
        <v>0</v>
      </c>
      <c r="D46" s="62">
        <f>IF(Zusatzeingaben!$K$18&gt;0,D44,D45)</f>
        <v>0</v>
      </c>
      <c r="E46" s="62">
        <f>IF(Zusatzeingaben!$K$18&gt;0,E44,E45)</f>
        <v>0</v>
      </c>
      <c r="F46" s="62">
        <f>IF(Zusatzeingaben!$K$18&gt;0,F44,F45)</f>
        <v>0</v>
      </c>
      <c r="G46" s="62">
        <f>IF(Zusatzeingaben!$K$18&gt;0,G44,G45)</f>
        <v>0</v>
      </c>
      <c r="H46" s="62">
        <f>IF(Zusatzeingaben!$K$18&gt;0,H44,H45)</f>
        <v>0</v>
      </c>
      <c r="I46" s="110">
        <f>IF(Zusatzeingaben!$K$18&gt;0,I44,I45)</f>
        <v>0</v>
      </c>
    </row>
    <row r="47" spans="1:11" hidden="1">
      <c r="A47" s="230" t="s">
        <v>41</v>
      </c>
      <c r="B47" s="209">
        <f>B24-B29+B33+B37-B42+B46</f>
        <v>0</v>
      </c>
      <c r="C47" s="209">
        <f t="shared" ref="C47:I47" si="2">C24-C29+C33+C37-C42+C46</f>
        <v>0</v>
      </c>
      <c r="D47" s="209">
        <f t="shared" si="2"/>
        <v>0</v>
      </c>
      <c r="E47" s="209">
        <f t="shared" si="2"/>
        <v>0</v>
      </c>
      <c r="F47" s="209">
        <f t="shared" si="2"/>
        <v>0</v>
      </c>
      <c r="G47" s="209">
        <f t="shared" si="2"/>
        <v>0</v>
      </c>
      <c r="H47" s="209">
        <f t="shared" si="2"/>
        <v>0</v>
      </c>
      <c r="I47" s="406">
        <f t="shared" si="2"/>
        <v>0</v>
      </c>
    </row>
    <row r="48" spans="1:11" ht="17.25" customHeight="1">
      <c r="A48" s="231">
        <f>IF(B49&gt;0,"Sonstiger Bedarf",0)</f>
        <v>0</v>
      </c>
      <c r="B48" s="13"/>
      <c r="C48" s="207"/>
      <c r="D48" s="207"/>
      <c r="E48" s="207"/>
      <c r="F48" s="207"/>
      <c r="G48" s="207"/>
      <c r="H48" s="207"/>
      <c r="I48" s="227"/>
    </row>
    <row r="49" spans="1:9" ht="16.5" customHeight="1" thickBot="1">
      <c r="A49" s="232">
        <f>IF(B49&gt;0,Zusatzeingaben!A117,0)</f>
        <v>0</v>
      </c>
      <c r="B49" s="210">
        <f>SUM(C49:I49)</f>
        <v>0</v>
      </c>
      <c r="C49" s="211">
        <f>Zusatzeingaben!C117</f>
        <v>0</v>
      </c>
      <c r="D49" s="211">
        <f>Zusatzeingaben!D117</f>
        <v>0</v>
      </c>
      <c r="E49" s="211">
        <f>Zusatzeingaben!E117</f>
        <v>0</v>
      </c>
      <c r="F49" s="211">
        <f>Zusatzeingaben!F117</f>
        <v>0</v>
      </c>
      <c r="G49" s="211">
        <f>Zusatzeingaben!G117</f>
        <v>0</v>
      </c>
      <c r="H49" s="211">
        <f>Zusatzeingaben!H117</f>
        <v>0</v>
      </c>
      <c r="I49" s="233">
        <f>Zusatzeingaben!I117</f>
        <v>0</v>
      </c>
    </row>
    <row r="50" spans="1:9" ht="23.25" customHeight="1" thickTop="1" thickBot="1">
      <c r="A50" s="343" t="s">
        <v>21</v>
      </c>
      <c r="B50" s="282">
        <f>SUM(C50:I50)</f>
        <v>416</v>
      </c>
      <c r="C50" s="282">
        <f t="shared" ref="C50:I50" si="3">C11+C13+C14+C15+C16+C17+C18+C19+C47+C49</f>
        <v>416</v>
      </c>
      <c r="D50" s="282">
        <f t="shared" si="3"/>
        <v>0</v>
      </c>
      <c r="E50" s="282">
        <f t="shared" si="3"/>
        <v>0</v>
      </c>
      <c r="F50" s="282">
        <f t="shared" si="3"/>
        <v>0</v>
      </c>
      <c r="G50" s="282">
        <f t="shared" si="3"/>
        <v>0</v>
      </c>
      <c r="H50" s="282">
        <f t="shared" si="3"/>
        <v>0</v>
      </c>
      <c r="I50" s="283">
        <f t="shared" si="3"/>
        <v>0</v>
      </c>
    </row>
    <row r="51" spans="1:9" ht="20.100000000000001" customHeight="1" thickBot="1">
      <c r="C51" s="173">
        <f>VLOOKUP(E3,Bedarfssätze!B7:C14,2)</f>
        <v>391</v>
      </c>
      <c r="D51" s="173">
        <f>VLOOKUP(E3,Bedarfssätze!E7:F14,2)</f>
        <v>353</v>
      </c>
      <c r="E51" s="173">
        <f>VLOOKUP(E3,Bedarfssätze!B25:C32,2)</f>
        <v>296</v>
      </c>
      <c r="F51" s="173">
        <f>VLOOKUP(E3,Bedarfssätze!E25:F32,2)</f>
        <v>261</v>
      </c>
      <c r="G51" s="173">
        <f>VLOOKUP(E3,Bedarfssätze!H25:I32,2)</f>
        <v>229</v>
      </c>
      <c r="H51" s="173">
        <f>VLOOKUP(E3,Bedarfssätze!H7:I14,2)</f>
        <v>313</v>
      </c>
    </row>
    <row r="52" spans="1:9" ht="23.25">
      <c r="A52" s="221"/>
      <c r="B52" s="345" t="s">
        <v>22</v>
      </c>
      <c r="C52" s="222"/>
      <c r="D52" s="222"/>
      <c r="E52" s="222"/>
      <c r="F52" s="222"/>
      <c r="G52" s="222"/>
      <c r="H52" s="222"/>
      <c r="I52" s="223"/>
    </row>
    <row r="53" spans="1:9" ht="17.25" customHeight="1">
      <c r="A53" s="224"/>
      <c r="B53" s="341" t="s">
        <v>1</v>
      </c>
      <c r="C53" s="341" t="str">
        <f>Zusatzeingaben!C4</f>
        <v>Antragsteller</v>
      </c>
      <c r="D53" s="341" t="str">
        <f>Zusatzeingaben!D4</f>
        <v>Partner(in)</v>
      </c>
      <c r="E53" s="341" t="str">
        <f>Zusatzeingaben!E4</f>
        <v>Kind 1</v>
      </c>
      <c r="F53" s="341" t="s">
        <v>8</v>
      </c>
      <c r="G53" s="341" t="s">
        <v>9</v>
      </c>
      <c r="H53" s="341" t="s">
        <v>10</v>
      </c>
      <c r="I53" s="342" t="s">
        <v>34</v>
      </c>
    </row>
    <row r="54" spans="1:9" hidden="1">
      <c r="A54" s="231" t="s">
        <v>54</v>
      </c>
      <c r="B54" s="208">
        <f>SUM(C54:I54)</f>
        <v>0</v>
      </c>
      <c r="C54" s="13">
        <f>Zusatzeingaben!C140</f>
        <v>0</v>
      </c>
      <c r="D54" s="13">
        <f>Zusatzeingaben!D140</f>
        <v>0</v>
      </c>
      <c r="E54" s="13">
        <f>Zusatzeingaben!E140</f>
        <v>0</v>
      </c>
      <c r="F54" s="13">
        <f>Zusatzeingaben!F140</f>
        <v>0</v>
      </c>
      <c r="G54" s="13">
        <f>Zusatzeingaben!G140</f>
        <v>0</v>
      </c>
      <c r="H54" s="13">
        <f>Zusatzeingaben!H140</f>
        <v>0</v>
      </c>
      <c r="I54" s="13">
        <f>Zusatzeingaben!I140</f>
        <v>0</v>
      </c>
    </row>
    <row r="55" spans="1:9">
      <c r="A55" s="412">
        <f>IF(B55&gt;0,"Nettolohn",0)</f>
        <v>0</v>
      </c>
      <c r="B55" s="284">
        <f>SUM(C55:I55)</f>
        <v>0</v>
      </c>
      <c r="C55" s="62">
        <f>Zusatzeingaben!C133</f>
        <v>0</v>
      </c>
      <c r="D55" s="62">
        <f>Zusatzeingaben!D133</f>
        <v>0</v>
      </c>
      <c r="E55" s="62">
        <f>Zusatzeingaben!E133</f>
        <v>0</v>
      </c>
      <c r="F55" s="62">
        <f>Zusatzeingaben!F133</f>
        <v>0</v>
      </c>
      <c r="G55" s="62">
        <f>Zusatzeingaben!G133</f>
        <v>0</v>
      </c>
      <c r="H55" s="62">
        <f>Zusatzeingaben!H133</f>
        <v>0</v>
      </c>
      <c r="I55" s="110">
        <f>Zusatzeingaben!I133</f>
        <v>0</v>
      </c>
    </row>
    <row r="56" spans="1:9">
      <c r="A56" s="408">
        <f>IF(B56&gt;0,"Ausbildungsvergütung (netto)",0)</f>
        <v>0</v>
      </c>
      <c r="B56" s="284">
        <f t="shared" ref="B56:B70" si="4">SUM(C56:I56)</f>
        <v>0</v>
      </c>
      <c r="C56" s="62">
        <f>Zusatzeingaben!C137</f>
        <v>0</v>
      </c>
      <c r="D56" s="62">
        <f>Zusatzeingaben!D137</f>
        <v>0</v>
      </c>
      <c r="E56" s="62">
        <f>Zusatzeingaben!E137</f>
        <v>0</v>
      </c>
      <c r="F56" s="62">
        <f>Zusatzeingaben!F137</f>
        <v>0</v>
      </c>
      <c r="G56" s="62">
        <f>Zusatzeingaben!G137</f>
        <v>0</v>
      </c>
      <c r="H56" s="62">
        <f>Zusatzeingaben!H137</f>
        <v>0</v>
      </c>
      <c r="I56" s="110">
        <f>Zusatzeingaben!I137</f>
        <v>0</v>
      </c>
    </row>
    <row r="57" spans="1:9">
      <c r="A57" s="408">
        <f>IF(B57&gt;0,Zusatzeingaben!A139,0)</f>
        <v>0</v>
      </c>
      <c r="B57" s="284">
        <f t="shared" si="4"/>
        <v>0</v>
      </c>
      <c r="C57" s="62">
        <f>Zusatzeingaben!C139</f>
        <v>0</v>
      </c>
      <c r="D57" s="62">
        <f>Zusatzeingaben!D139</f>
        <v>0</v>
      </c>
      <c r="E57" s="62">
        <f>Zusatzeingaben!E139</f>
        <v>0</v>
      </c>
      <c r="F57" s="62">
        <f>Zusatzeingaben!F139</f>
        <v>0</v>
      </c>
      <c r="G57" s="62">
        <f>Zusatzeingaben!G139</f>
        <v>0</v>
      </c>
      <c r="H57" s="62">
        <f>Zusatzeingaben!H139</f>
        <v>0</v>
      </c>
      <c r="I57" s="110">
        <f>Zusatzeingaben!I139</f>
        <v>0</v>
      </c>
    </row>
    <row r="58" spans="1:9">
      <c r="A58" s="408">
        <f>IF(B58&gt;0,"steuerfreie Einnahmen Ehrenamt o.ä.",0)</f>
        <v>0</v>
      </c>
      <c r="B58" s="284">
        <f t="shared" si="4"/>
        <v>0</v>
      </c>
      <c r="C58" s="62">
        <f>Zusatzeingaben!C138</f>
        <v>0</v>
      </c>
      <c r="D58" s="62">
        <f>Zusatzeingaben!D138</f>
        <v>0</v>
      </c>
      <c r="E58" s="62">
        <f>Zusatzeingaben!E138</f>
        <v>0</v>
      </c>
      <c r="F58" s="62">
        <f>Zusatzeingaben!F138</f>
        <v>0</v>
      </c>
      <c r="G58" s="62">
        <f>Zusatzeingaben!G138</f>
        <v>0</v>
      </c>
      <c r="H58" s="62">
        <f>Zusatzeingaben!H138</f>
        <v>0</v>
      </c>
      <c r="I58" s="110">
        <f>Zusatzeingaben!I138</f>
        <v>0</v>
      </c>
    </row>
    <row r="59" spans="1:9">
      <c r="A59" s="408">
        <f>IF(B59&gt;0,"Einkommen aus Freiwilligendienste",0)</f>
        <v>0</v>
      </c>
      <c r="B59" s="284">
        <f t="shared" si="4"/>
        <v>0</v>
      </c>
      <c r="C59" s="62">
        <f>Zusatzeingaben!C170</f>
        <v>0</v>
      </c>
      <c r="D59" s="62">
        <f>Zusatzeingaben!D170</f>
        <v>0</v>
      </c>
      <c r="E59" s="62">
        <f>Zusatzeingaben!E170</f>
        <v>0</v>
      </c>
      <c r="F59" s="62">
        <f>Zusatzeingaben!F170</f>
        <v>0</v>
      </c>
      <c r="G59" s="62">
        <f>Zusatzeingaben!G170</f>
        <v>0</v>
      </c>
      <c r="H59" s="62">
        <f>Zusatzeingaben!H170</f>
        <v>0</v>
      </c>
      <c r="I59" s="110">
        <f>Zusatzeingaben!I170</f>
        <v>0</v>
      </c>
    </row>
    <row r="60" spans="1:9">
      <c r="A60" s="408">
        <f>IF(B60&gt;0,"Elterngeld",0)</f>
        <v>0</v>
      </c>
      <c r="B60" s="284">
        <f t="shared" si="4"/>
        <v>0</v>
      </c>
      <c r="C60" s="62">
        <f>Zusatzeingaben!C174</f>
        <v>0</v>
      </c>
      <c r="D60" s="62">
        <f>Zusatzeingaben!D174</f>
        <v>0</v>
      </c>
      <c r="E60" s="62"/>
      <c r="F60" s="62"/>
      <c r="G60" s="62"/>
      <c r="H60" s="62"/>
      <c r="I60" s="110"/>
    </row>
    <row r="61" spans="1:9">
      <c r="A61" s="408">
        <f>IF(B61&gt;0,Zusatzeingaben!A180,0)</f>
        <v>0</v>
      </c>
      <c r="B61" s="284">
        <f t="shared" si="4"/>
        <v>0</v>
      </c>
      <c r="C61" s="62">
        <f>Zusatzeingaben!C180</f>
        <v>0</v>
      </c>
      <c r="D61" s="62">
        <f>Zusatzeingaben!D180</f>
        <v>0</v>
      </c>
      <c r="E61" s="62">
        <f>Zusatzeingaben!E180</f>
        <v>0</v>
      </c>
      <c r="F61" s="62">
        <f>Zusatzeingaben!F180</f>
        <v>0</v>
      </c>
      <c r="G61" s="62"/>
      <c r="H61" s="62"/>
      <c r="I61" s="110"/>
    </row>
    <row r="62" spans="1:9">
      <c r="A62" s="408">
        <f>IF(B62&gt;0,"Kindergeld",0)</f>
        <v>0</v>
      </c>
      <c r="B62" s="284">
        <f t="shared" si="4"/>
        <v>0</v>
      </c>
      <c r="C62" s="62">
        <f>Zusatzeingaben!C192</f>
        <v>0</v>
      </c>
      <c r="D62" s="62">
        <f>Zusatzeingaben!D192</f>
        <v>0</v>
      </c>
      <c r="E62" s="62">
        <f>Zusatzeingaben!E192</f>
        <v>0</v>
      </c>
      <c r="F62" s="62">
        <f>Zusatzeingaben!F192</f>
        <v>0</v>
      </c>
      <c r="G62" s="62">
        <f>Zusatzeingaben!G192</f>
        <v>0</v>
      </c>
      <c r="H62" s="62">
        <f>Zusatzeingaben!H192</f>
        <v>0</v>
      </c>
      <c r="I62" s="110">
        <f>Zusatzeingaben!I192</f>
        <v>0</v>
      </c>
    </row>
    <row r="63" spans="1:9">
      <c r="A63" s="408">
        <f>IF(B63&gt;0,"Unterhalt/Unterhaltsvorschuss",0)</f>
        <v>0</v>
      </c>
      <c r="B63" s="284">
        <f t="shared" si="4"/>
        <v>0</v>
      </c>
      <c r="C63" s="62">
        <f>Zusatzeingaben!C195</f>
        <v>0</v>
      </c>
      <c r="D63" s="62">
        <f>Zusatzeingaben!D195</f>
        <v>0</v>
      </c>
      <c r="E63" s="62">
        <f>Zusatzeingaben!E195</f>
        <v>0</v>
      </c>
      <c r="F63" s="62">
        <f>Zusatzeingaben!F195</f>
        <v>0</v>
      </c>
      <c r="G63" s="62">
        <f>Zusatzeingaben!G195</f>
        <v>0</v>
      </c>
      <c r="H63" s="62">
        <f>Zusatzeingaben!H195</f>
        <v>0</v>
      </c>
      <c r="I63" s="110">
        <f>Zusatzeingaben!I195</f>
        <v>0</v>
      </c>
    </row>
    <row r="64" spans="1:9">
      <c r="A64" s="408">
        <f>IF(B64&gt;0,Zusatzeingaben!A196,0)</f>
        <v>0</v>
      </c>
      <c r="B64" s="284">
        <f t="shared" si="4"/>
        <v>0</v>
      </c>
      <c r="C64" s="62">
        <f>Zusatzeingaben!C196</f>
        <v>0</v>
      </c>
      <c r="D64" s="62">
        <f>Zusatzeingaben!D196</f>
        <v>0</v>
      </c>
      <c r="E64" s="62">
        <f>Zusatzeingaben!E196</f>
        <v>0</v>
      </c>
      <c r="F64" s="62">
        <f>Zusatzeingaben!F196</f>
        <v>0</v>
      </c>
      <c r="G64" s="62">
        <f>Zusatzeingaben!G196</f>
        <v>0</v>
      </c>
      <c r="H64" s="62">
        <f>Zusatzeingaben!H196</f>
        <v>0</v>
      </c>
      <c r="I64" s="110">
        <f>Zusatzeingaben!I196</f>
        <v>0</v>
      </c>
    </row>
    <row r="65" spans="1:9">
      <c r="A65" s="408">
        <f>IF(B65&gt;0,"Altersrente",0)</f>
        <v>0</v>
      </c>
      <c r="B65" s="284">
        <f t="shared" si="4"/>
        <v>0</v>
      </c>
      <c r="C65" s="62">
        <f>Zusatzeingaben!C197</f>
        <v>0</v>
      </c>
      <c r="D65" s="62">
        <f>Zusatzeingaben!D197</f>
        <v>0</v>
      </c>
      <c r="E65" s="62">
        <f>Zusatzeingaben!E197</f>
        <v>0</v>
      </c>
      <c r="F65" s="62">
        <f>Zusatzeingaben!F197</f>
        <v>0</v>
      </c>
      <c r="G65" s="62">
        <f>Zusatzeingaben!G197</f>
        <v>0</v>
      </c>
      <c r="H65" s="62">
        <f>Zusatzeingaben!H197</f>
        <v>0</v>
      </c>
      <c r="I65" s="110">
        <f>Zusatzeingaben!I197</f>
        <v>0</v>
      </c>
    </row>
    <row r="66" spans="1:9">
      <c r="A66" s="408">
        <f>IF(B66&gt;0,Zusatzeingaben!A198,0)</f>
        <v>0</v>
      </c>
      <c r="B66" s="284">
        <f t="shared" si="4"/>
        <v>0</v>
      </c>
      <c r="C66" s="62">
        <f>Zusatzeingaben!C198</f>
        <v>0</v>
      </c>
      <c r="D66" s="62">
        <f>Zusatzeingaben!D198</f>
        <v>0</v>
      </c>
      <c r="E66" s="62">
        <f>Zusatzeingaben!E198</f>
        <v>0</v>
      </c>
      <c r="F66" s="62">
        <f>Zusatzeingaben!F198</f>
        <v>0</v>
      </c>
      <c r="G66" s="62">
        <f>Zusatzeingaben!G198</f>
        <v>0</v>
      </c>
      <c r="H66" s="62">
        <f>Zusatzeingaben!H198</f>
        <v>0</v>
      </c>
      <c r="I66" s="110">
        <f>Zusatzeingaben!I198</f>
        <v>0</v>
      </c>
    </row>
    <row r="67" spans="1:9" hidden="1">
      <c r="A67" s="408"/>
      <c r="B67" s="284">
        <f t="shared" si="4"/>
        <v>0</v>
      </c>
      <c r="C67" s="62"/>
      <c r="D67" s="62"/>
      <c r="E67" s="62"/>
      <c r="F67" s="62"/>
      <c r="G67" s="62"/>
      <c r="H67" s="62"/>
      <c r="I67" s="110"/>
    </row>
    <row r="68" spans="1:9" ht="16.5" customHeight="1" thickBot="1">
      <c r="A68" s="413">
        <f>IF(B68&gt;0,Zusatzeingaben!A199,0)</f>
        <v>0</v>
      </c>
      <c r="B68" s="285">
        <f t="shared" si="4"/>
        <v>0</v>
      </c>
      <c r="C68" s="286">
        <f>Zusatzeingaben!C199</f>
        <v>0</v>
      </c>
      <c r="D68" s="286">
        <f>Zusatzeingaben!D199</f>
        <v>0</v>
      </c>
      <c r="E68" s="286">
        <f>Zusatzeingaben!E199</f>
        <v>0</v>
      </c>
      <c r="F68" s="286">
        <f>Zusatzeingaben!F199</f>
        <v>0</v>
      </c>
      <c r="G68" s="286">
        <f>Zusatzeingaben!G199</f>
        <v>0</v>
      </c>
      <c r="H68" s="286">
        <f>Zusatzeingaben!H199</f>
        <v>0</v>
      </c>
      <c r="I68" s="287">
        <f>Zusatzeingaben!I199</f>
        <v>0</v>
      </c>
    </row>
    <row r="69" spans="1:9" ht="18" hidden="1" thickTop="1" thickBot="1">
      <c r="A69" s="262"/>
      <c r="B69" s="288"/>
      <c r="C69" s="132">
        <f>SUM(C60:C68)</f>
        <v>0</v>
      </c>
      <c r="D69" s="132">
        <f t="shared" ref="D69:I69" si="5">SUM(D60:D68)</f>
        <v>0</v>
      </c>
      <c r="E69" s="132">
        <f t="shared" si="5"/>
        <v>0</v>
      </c>
      <c r="F69" s="132">
        <f t="shared" si="5"/>
        <v>0</v>
      </c>
      <c r="G69" s="132">
        <f t="shared" si="5"/>
        <v>0</v>
      </c>
      <c r="H69" s="132">
        <f t="shared" si="5"/>
        <v>0</v>
      </c>
      <c r="I69" s="133">
        <f t="shared" si="5"/>
        <v>0</v>
      </c>
    </row>
    <row r="70" spans="1:9" ht="18" thickTop="1" thickBot="1">
      <c r="A70" s="242" t="s">
        <v>26</v>
      </c>
      <c r="B70" s="289">
        <f t="shared" si="4"/>
        <v>0</v>
      </c>
      <c r="C70" s="290">
        <f t="shared" ref="C70:I70" si="6">SUM(C55:C68)</f>
        <v>0</v>
      </c>
      <c r="D70" s="290">
        <f t="shared" si="6"/>
        <v>0</v>
      </c>
      <c r="E70" s="290">
        <f t="shared" si="6"/>
        <v>0</v>
      </c>
      <c r="F70" s="290">
        <f t="shared" si="6"/>
        <v>0</v>
      </c>
      <c r="G70" s="290">
        <f t="shared" si="6"/>
        <v>0</v>
      </c>
      <c r="H70" s="290">
        <f t="shared" si="6"/>
        <v>0</v>
      </c>
      <c r="I70" s="291">
        <f t="shared" si="6"/>
        <v>0</v>
      </c>
    </row>
    <row r="71" spans="1:9" ht="16.5" hidden="1" customHeight="1">
      <c r="A71" s="411"/>
      <c r="B71" s="62"/>
      <c r="C71" s="128">
        <f>IF(AND(Zusatzeingaben!C161&gt;0,Zusatzeingaben!C164=Zusatzeingaben!C161),0,Zusatzeingaben!C203)</f>
        <v>0</v>
      </c>
      <c r="D71" s="128">
        <f>IF(AND(Zusatzeingaben!D161&gt;0,Zusatzeingaben!D164=Zusatzeingaben!D161),0,Zusatzeingaben!D203)</f>
        <v>0</v>
      </c>
      <c r="E71" s="128">
        <f>IF(AND(Zusatzeingaben!E161&gt;0,Zusatzeingaben!E164=Zusatzeingaben!E161),0,Zusatzeingaben!E203)</f>
        <v>0</v>
      </c>
      <c r="F71" s="128">
        <f>IF(AND(Zusatzeingaben!F161&gt;0,Zusatzeingaben!F164=Zusatzeingaben!F161),0,Zusatzeingaben!F203)</f>
        <v>0</v>
      </c>
      <c r="G71" s="128">
        <f>IF(AND(Zusatzeingaben!G161&gt;0,Zusatzeingaben!G164=Zusatzeingaben!G161),0,Zusatzeingaben!G203)</f>
        <v>0</v>
      </c>
      <c r="H71" s="128">
        <f>IF(AND(Zusatzeingaben!H161&gt;0,Zusatzeingaben!H164=Zusatzeingaben!H161),0,Zusatzeingaben!H203)</f>
        <v>0</v>
      </c>
      <c r="I71" s="190">
        <f>IF(AND(Zusatzeingaben!I161&gt;0,Zusatzeingaben!I164=Zusatzeingaben!I161),0,Zusatzeingaben!I203)</f>
        <v>0</v>
      </c>
    </row>
    <row r="72" spans="1:9" ht="16.5" hidden="1" customHeight="1">
      <c r="A72" s="411"/>
      <c r="B72" s="62"/>
      <c r="C72" s="128">
        <f>IF(AND(Zusatzeingaben!C215&gt;C113,C78&lt;0),C71+C78,C71)</f>
        <v>0</v>
      </c>
      <c r="D72" s="128">
        <f>IF(AND(Zusatzeingaben!D215&gt;D113,D78&lt;0),D71+D78,D71)</f>
        <v>0</v>
      </c>
      <c r="E72" s="128">
        <f>IF(AND(Zusatzeingaben!E215&gt;E113,E78&lt;0),E71+E78,E71)</f>
        <v>0</v>
      </c>
      <c r="F72" s="128">
        <f>IF(AND(Zusatzeingaben!F215&gt;F113,F78&lt;0),F71+F78,F71)</f>
        <v>0</v>
      </c>
      <c r="G72" s="128">
        <f>IF(AND(Zusatzeingaben!G215&gt;G113,G78&lt;0),G71+G78,G71)</f>
        <v>0</v>
      </c>
      <c r="H72" s="128">
        <f>IF(AND(Zusatzeingaben!H215&gt;H113,H78&lt;0),H71+H78,H71)</f>
        <v>0</v>
      </c>
      <c r="I72" s="190">
        <f>IF(AND(Zusatzeingaben!I215&gt;I113,I78&lt;0),I71+I78,I71)</f>
        <v>0</v>
      </c>
    </row>
    <row r="73" spans="1:9" ht="16.5" hidden="1" customHeight="1">
      <c r="A73" s="411"/>
      <c r="B73" s="62"/>
      <c r="C73" s="128">
        <f>IF(AND(C113&gt;0,Zusatzeingaben!C215&lt;C113),0,C72)</f>
        <v>0</v>
      </c>
      <c r="D73" s="128">
        <f>IF(AND(D113&gt;0,Zusatzeingaben!D215&lt;D113),0,D72)</f>
        <v>0</v>
      </c>
      <c r="E73" s="128">
        <f>IF(AND(E113&gt;0,Zusatzeingaben!E215&lt;E113),0,E72)</f>
        <v>0</v>
      </c>
      <c r="F73" s="128">
        <f>IF(AND(F113&gt;0,Zusatzeingaben!F215&lt;F113),0,F72)</f>
        <v>0</v>
      </c>
      <c r="G73" s="128">
        <f>IF(AND(G113&gt;0,Zusatzeingaben!G215&lt;G113),0,G72)</f>
        <v>0</v>
      </c>
      <c r="H73" s="128">
        <f>IF(AND(H113&gt;0,Zusatzeingaben!H215&lt;H113),0,H72)</f>
        <v>0</v>
      </c>
      <c r="I73" s="190">
        <f>IF(AND(I113&gt;0,Zusatzeingaben!I215&lt;I113),0,I72)</f>
        <v>0</v>
      </c>
    </row>
    <row r="74" spans="1:9" ht="16.5" hidden="1" customHeight="1">
      <c r="A74" s="411"/>
      <c r="B74" s="62"/>
      <c r="C74" s="128">
        <f>IF(C113=0,Zusatzeingaben!C203,0)</f>
        <v>0</v>
      </c>
      <c r="D74" s="128">
        <f>IF(D113=0,Zusatzeingaben!D203,0)</f>
        <v>0</v>
      </c>
      <c r="E74" s="128">
        <f>IF(E113=0,Zusatzeingaben!E203,0)</f>
        <v>0</v>
      </c>
      <c r="F74" s="128">
        <f>IF(F113=0,Zusatzeingaben!F203,0)</f>
        <v>0</v>
      </c>
      <c r="G74" s="128">
        <f>IF(G113=0,Zusatzeingaben!G203,0)</f>
        <v>0</v>
      </c>
      <c r="H74" s="128">
        <f>IF(H113=0,Zusatzeingaben!H203,0)</f>
        <v>0</v>
      </c>
      <c r="I74" s="190">
        <f>IF(I113=0,Zusatzeingaben!I203,0)</f>
        <v>0</v>
      </c>
    </row>
    <row r="75" spans="1:9" ht="16.5" hidden="1" customHeight="1">
      <c r="A75" s="411"/>
      <c r="B75" s="298"/>
      <c r="C75" s="132">
        <f>IF(C74=30,C74,C73)</f>
        <v>0</v>
      </c>
      <c r="D75" s="132">
        <f t="shared" ref="D75:I75" si="7">IF(D74=30,D74,D73)</f>
        <v>0</v>
      </c>
      <c r="E75" s="132">
        <f t="shared" si="7"/>
        <v>0</v>
      </c>
      <c r="F75" s="132">
        <f t="shared" si="7"/>
        <v>0</v>
      </c>
      <c r="G75" s="132">
        <f t="shared" si="7"/>
        <v>0</v>
      </c>
      <c r="H75" s="132">
        <f t="shared" si="7"/>
        <v>0</v>
      </c>
      <c r="I75" s="133">
        <f t="shared" si="7"/>
        <v>0</v>
      </c>
    </row>
    <row r="76" spans="1:9">
      <c r="A76" s="414">
        <f>IF(B76&gt;0,"./. Versicherungspauschale",0)</f>
        <v>0</v>
      </c>
      <c r="B76" s="292">
        <f>SUM(C76:I76)</f>
        <v>0</v>
      </c>
      <c r="C76" s="715">
        <f>IF(C70=0,0,IF(C75&lt;0,0,IF(AND(C114&gt;0,C54&lt;=400),0,IF(AND(C114&gt;0,Zusatzeingaben!C141=0),0,IF(AND(C61&gt;0,C120=Zusatzeingaben!C189,Zusatzeingaben!C189&gt;0),0,C75)))))</f>
        <v>0</v>
      </c>
      <c r="D76" s="715">
        <f>IF(D70=0,0,IF(D75&lt;0,0,IF(AND(D114&gt;0,D54&lt;=400),0,IF(AND(D114&gt;0,Zusatzeingaben!D141=0),0,IF(AND(D61&gt;0,D120=Zusatzeingaben!D189,Zusatzeingaben!D189&gt;0),0,D75)))))</f>
        <v>0</v>
      </c>
      <c r="E76" s="715">
        <f>IF(E70=0,0,IF(E75&lt;0,0,IF(AND(E114&gt;0,E54&lt;=400),0,IF(AND(E114&gt;0,Zusatzeingaben!E141=0),0,IF(AND(E61&gt;0,E120=Zusatzeingaben!E189,Zusatzeingaben!E189&gt;0),0,E75)))))</f>
        <v>0</v>
      </c>
      <c r="F76" s="715">
        <f>IF(F70=0,0,IF(F75&lt;0,0,IF(AND(F114&gt;0,F54&lt;=400),0,IF(AND(F114&gt;0,Zusatzeingaben!F141=0),0,IF(AND(F61&gt;0,F120=Zusatzeingaben!F189,Zusatzeingaben!F189&gt;0),0,F75)))))</f>
        <v>0</v>
      </c>
      <c r="G76" s="715">
        <f>IF(G70=0,0,IF(G75&lt;0,0,IF(AND(G114&gt;0,G54&lt;=400),0,IF(AND(G114&gt;0,Zusatzeingaben!G141=0),0,IF(AND(G61&gt;0,G120=Zusatzeingaben!G189,Zusatzeingaben!G189&gt;0),0,G75)))))</f>
        <v>0</v>
      </c>
      <c r="H76" s="715">
        <f>IF(H70=0,0,IF(H75&lt;0,0,IF(AND(H114&gt;0,H54&lt;=400),0,IF(AND(H114&gt;0,Zusatzeingaben!H141=0),0,IF(AND(H61&gt;0,H120=Zusatzeingaben!H189,Zusatzeingaben!H189&gt;0),0,H75)))))</f>
        <v>0</v>
      </c>
      <c r="I76" s="716">
        <f>IF(I70=0,0,IF(I75&lt;0,0,IF(AND(I114&gt;0,I54&lt;=400),0,IF(AND(I114&gt;0,Zusatzeingaben!I141=0),0,IF(AND(I61&gt;0,I120=Zusatzeingaben!I189,Zusatzeingaben!I189&gt;0),0,I75)))))</f>
        <v>0</v>
      </c>
    </row>
    <row r="77" spans="1:9" hidden="1">
      <c r="A77" s="411"/>
      <c r="B77" s="62"/>
      <c r="C77" s="128">
        <f>IF(AND(Zusatzeingaben!C161&gt;0,Zusatzeingaben!C164=Zusatzeingaben!C161),0,Zusatzeingaben!C204-Zusatzeingaben!C161)</f>
        <v>0</v>
      </c>
      <c r="D77" s="128">
        <f>IF(AND(Zusatzeingaben!D161&gt;0,Zusatzeingaben!D164=Zusatzeingaben!D161),0,Zusatzeingaben!D204-Zusatzeingaben!D161)</f>
        <v>0</v>
      </c>
      <c r="E77" s="128">
        <f>IF(AND(Zusatzeingaben!E161&gt;0,Zusatzeingaben!E164=Zusatzeingaben!E161),0,Zusatzeingaben!E204-Zusatzeingaben!E161)</f>
        <v>0</v>
      </c>
      <c r="F77" s="128">
        <f>IF(AND(Zusatzeingaben!F161&gt;0,Zusatzeingaben!F164=Zusatzeingaben!F161),0,Zusatzeingaben!F204-Zusatzeingaben!F161)</f>
        <v>0</v>
      </c>
      <c r="G77" s="128">
        <f>IF(AND(Zusatzeingaben!G161&gt;0,Zusatzeingaben!G164=Zusatzeingaben!G161),0,Zusatzeingaben!G204-Zusatzeingaben!G161)</f>
        <v>0</v>
      </c>
      <c r="H77" s="128">
        <f>IF(AND(Zusatzeingaben!H161&gt;0,Zusatzeingaben!H164=Zusatzeingaben!H161),0,Zusatzeingaben!H204-Zusatzeingaben!H161)</f>
        <v>0</v>
      </c>
      <c r="I77" s="190">
        <f>IF(AND(Zusatzeingaben!I161&gt;0,Zusatzeingaben!I164=Zusatzeingaben!I161),0,Zusatzeingaben!I204-Zusatzeingaben!I161)</f>
        <v>0</v>
      </c>
    </row>
    <row r="78" spans="1:9" hidden="1">
      <c r="A78" s="411"/>
      <c r="B78" s="62"/>
      <c r="C78" s="128">
        <f>IF(AND(C71&gt;0,C77&gt;Zusatzeingaben!C204),Zusatzeingaben!C204,C77)</f>
        <v>0</v>
      </c>
      <c r="D78" s="128">
        <f>IF(AND(D71&gt;0,D77&gt;Zusatzeingaben!D204),Zusatzeingaben!D204,D77)</f>
        <v>0</v>
      </c>
      <c r="E78" s="128">
        <f>IF(AND(E71&gt;0,E77&gt;Zusatzeingaben!E204),Zusatzeingaben!E204,E77)</f>
        <v>0</v>
      </c>
      <c r="F78" s="128">
        <f>IF(AND(F71&gt;0,F77&gt;Zusatzeingaben!F204),Zusatzeingaben!F204,F77)</f>
        <v>0</v>
      </c>
      <c r="G78" s="128">
        <f>IF(AND(G71&gt;0,G77&gt;Zusatzeingaben!G204),Zusatzeingaben!G204,G77)</f>
        <v>0</v>
      </c>
      <c r="H78" s="128">
        <f>IF(AND(H71&gt;0,H77&gt;Zusatzeingaben!H204),Zusatzeingaben!H204,H77)</f>
        <v>0</v>
      </c>
      <c r="I78" s="190">
        <f>IF(AND(I71&gt;0,I77&gt;Zusatzeingaben!I204),Zusatzeingaben!I204,I77)</f>
        <v>0</v>
      </c>
    </row>
    <row r="79" spans="1:9" hidden="1">
      <c r="A79" s="411"/>
      <c r="B79" s="62"/>
      <c r="C79" s="128">
        <f>IF(C113=0,Zusatzeingaben!C204,0)</f>
        <v>0</v>
      </c>
      <c r="D79" s="128">
        <f>IF(D113=0,Zusatzeingaben!D204,0)</f>
        <v>0</v>
      </c>
      <c r="E79" s="128">
        <f>IF(E113=0,Zusatzeingaben!E204,0)</f>
        <v>0</v>
      </c>
      <c r="F79" s="128">
        <f>IF(F113=0,Zusatzeingaben!F204,0)</f>
        <v>0</v>
      </c>
      <c r="G79" s="128">
        <f>IF(G113=0,Zusatzeingaben!G204,0)</f>
        <v>0</v>
      </c>
      <c r="H79" s="128">
        <f>IF(H113=0,Zusatzeingaben!H204,0)</f>
        <v>0</v>
      </c>
      <c r="I79" s="190">
        <f>IF(I113=0,Zusatzeingaben!I204,0)</f>
        <v>0</v>
      </c>
    </row>
    <row r="80" spans="1:9" hidden="1">
      <c r="A80" s="411"/>
      <c r="B80" s="62"/>
      <c r="C80" s="128">
        <f>IF(C79=Zusatzeingaben!C204,C79,C78)</f>
        <v>0</v>
      </c>
      <c r="D80" s="128">
        <f>IF(D79=Zusatzeingaben!D204,D79,D78)</f>
        <v>0</v>
      </c>
      <c r="E80" s="128">
        <f>IF(E79=Zusatzeingaben!E204,E79,E78)</f>
        <v>0</v>
      </c>
      <c r="F80" s="128">
        <f>IF(F79=Zusatzeingaben!F204,F79,F78)</f>
        <v>0</v>
      </c>
      <c r="G80" s="128">
        <f>IF(G79=Zusatzeingaben!G204,G79,G78)</f>
        <v>0</v>
      </c>
      <c r="H80" s="128">
        <f>IF(H79=Zusatzeingaben!H204,H79,H78)</f>
        <v>0</v>
      </c>
      <c r="I80" s="190">
        <f>IF(I79=Zusatzeingaben!I204,I79,I78)</f>
        <v>0</v>
      </c>
    </row>
    <row r="81" spans="1:11" hidden="1">
      <c r="A81" s="411"/>
      <c r="B81" s="62"/>
      <c r="C81" s="295">
        <f t="shared" ref="C81:I81" si="8">IF(OR(C80&lt;0,C70=0),0,C80)</f>
        <v>0</v>
      </c>
      <c r="D81" s="295">
        <f t="shared" si="8"/>
        <v>0</v>
      </c>
      <c r="E81" s="295">
        <f t="shared" si="8"/>
        <v>0</v>
      </c>
      <c r="F81" s="295">
        <f t="shared" si="8"/>
        <v>0</v>
      </c>
      <c r="G81" s="295">
        <f t="shared" si="8"/>
        <v>0</v>
      </c>
      <c r="H81" s="295">
        <f t="shared" si="8"/>
        <v>0</v>
      </c>
      <c r="I81" s="296">
        <f t="shared" si="8"/>
        <v>0</v>
      </c>
    </row>
    <row r="82" spans="1:11">
      <c r="A82" s="408">
        <f>IF(B82&gt;0,"./. Kfz-Haftpflichtversicherung",0)</f>
        <v>0</v>
      </c>
      <c r="B82" s="284">
        <f>SUM(C82:I82)</f>
        <v>0</v>
      </c>
      <c r="C82" s="295">
        <f>IF(AND(C114&gt;0,C54&lt;=400),0,IF(AND(C114&gt;0,Zusatzeingaben!C141=0),0,IF(AND(C120=Zusatzeingaben!C189,C61&gt;0,Zusatzeingaben!C189&gt;0),0,C81)))</f>
        <v>0</v>
      </c>
      <c r="D82" s="295">
        <f>IF(AND(D114&gt;0,D54&lt;=400),0,IF(AND(D114&gt;0,Zusatzeingaben!D141=0),0,IF(AND(D120=Zusatzeingaben!D189,D61&gt;0,Zusatzeingaben!D189&gt;0),0,D81)))</f>
        <v>0</v>
      </c>
      <c r="E82" s="295">
        <f>IF(AND(E114&gt;0,E54&lt;=400),0,IF(AND(E114&gt;0,Zusatzeingaben!E141=0),0,IF(AND(E120=Zusatzeingaben!E189,E61&gt;0,Zusatzeingaben!E189&gt;0),0,E81)))</f>
        <v>0</v>
      </c>
      <c r="F82" s="295">
        <f>IF(AND(F114&gt;0,F54&lt;=400),0,IF(AND(F114&gt;0,Zusatzeingaben!F141=0),0,IF(AND(F120=Zusatzeingaben!F189,F61&gt;0,Zusatzeingaben!F189&gt;0),0,F81)))</f>
        <v>0</v>
      </c>
      <c r="G82" s="295">
        <f>IF(AND(G114&gt;0,G54&lt;=400),0,IF(AND(G114&gt;0,Zusatzeingaben!G141=0),0,IF(AND(G120=Zusatzeingaben!G189,G61&gt;0,Zusatzeingaben!G189&gt;0),0,G81)))</f>
        <v>0</v>
      </c>
      <c r="H82" s="295">
        <f>IF(AND(H114&gt;0,H54&lt;=400),0,IF(AND(H114&gt;0,Zusatzeingaben!H141=0),0,IF(AND(H120=Zusatzeingaben!H189,H61&gt;0,Zusatzeingaben!H189&gt;0),0,H81)))</f>
        <v>0</v>
      </c>
      <c r="I82" s="296">
        <f>IF(AND(I114&gt;0,I54&lt;=400),0,IF(AND(I114&gt;0,Zusatzeingaben!I141=0),0,IF(AND(I120=Zusatzeingaben!I189,I61&gt;0,Zusatzeingaben!I189&gt;0),0,I81)))</f>
        <v>0</v>
      </c>
      <c r="K82" s="616"/>
    </row>
    <row r="83" spans="1:11" ht="18" hidden="1" customHeight="1">
      <c r="A83" s="411"/>
      <c r="B83" s="128"/>
      <c r="C83" s="128">
        <f>IF(AND(Zusatzeingaben!C161&gt;0,Zusatzeingaben!C164=Zusatzeingaben!C161),0,Zusatzeingaben!C205)</f>
        <v>0</v>
      </c>
      <c r="D83" s="128">
        <f>IF(AND(Zusatzeingaben!D161&gt;0,Zusatzeingaben!D164=Zusatzeingaben!D161),0,Zusatzeingaben!D205)</f>
        <v>0</v>
      </c>
      <c r="E83" s="128">
        <f>IF(AND(Zusatzeingaben!E161&gt;0,Zusatzeingaben!E164=Zusatzeingaben!E161),0,Zusatzeingaben!E205)</f>
        <v>0</v>
      </c>
      <c r="F83" s="128">
        <f>IF(AND(Zusatzeingaben!F161&gt;0,Zusatzeingaben!F164=Zusatzeingaben!F161),0,Zusatzeingaben!F205)</f>
        <v>0</v>
      </c>
      <c r="G83" s="128">
        <f>IF(AND(Zusatzeingaben!G161&gt;0,Zusatzeingaben!G164=Zusatzeingaben!G161),0,Zusatzeingaben!G205)</f>
        <v>0</v>
      </c>
      <c r="H83" s="128">
        <f>IF(AND(Zusatzeingaben!H161&gt;0,Zusatzeingaben!H164=Zusatzeingaben!H161),0,Zusatzeingaben!H205)</f>
        <v>0</v>
      </c>
      <c r="I83" s="190">
        <f>IF(AND(Zusatzeingaben!I161&gt;0,Zusatzeingaben!I164=Zusatzeingaben!I161),0,Zusatzeingaben!I205)</f>
        <v>0</v>
      </c>
      <c r="K83" s="616"/>
    </row>
    <row r="84" spans="1:11" ht="18" hidden="1" customHeight="1">
      <c r="A84" s="411"/>
      <c r="B84" s="128"/>
      <c r="C84" s="128">
        <f>IF(AND(Zusatzeingaben!C215&gt;C113,C78&lt;&gt;Zusatzeingaben!C204),C83,0)</f>
        <v>0</v>
      </c>
      <c r="D84" s="128">
        <f>IF(AND(Zusatzeingaben!D215&gt;D113,D78&lt;&gt;Zusatzeingaben!D204),D83,0)</f>
        <v>0</v>
      </c>
      <c r="E84" s="128">
        <f>IF(AND(Zusatzeingaben!E215&gt;E113,E78&lt;&gt;Zusatzeingaben!E204),E83,0)</f>
        <v>0</v>
      </c>
      <c r="F84" s="128">
        <f>IF(AND(Zusatzeingaben!F215&gt;F113,F78&lt;&gt;Zusatzeingaben!F204),F83,0)</f>
        <v>0</v>
      </c>
      <c r="G84" s="128">
        <f>IF(AND(Zusatzeingaben!G215&gt;G113,G78&lt;&gt;Zusatzeingaben!G204),G83,0)</f>
        <v>0</v>
      </c>
      <c r="H84" s="128">
        <f>IF(AND(Zusatzeingaben!H215&gt;H113,H78&lt;&gt;Zusatzeingaben!H204),H83,0)</f>
        <v>0</v>
      </c>
      <c r="I84" s="190">
        <f>IF(AND(Zusatzeingaben!I215&gt;I113,I78&lt;&gt;Zusatzeingaben!I204),I83,0)</f>
        <v>0</v>
      </c>
      <c r="K84" s="616"/>
    </row>
    <row r="85" spans="1:11" ht="18" hidden="1" customHeight="1">
      <c r="A85" s="411"/>
      <c r="B85" s="128"/>
      <c r="C85" s="128">
        <f>IF(C113=0,Zusatzeingaben!C205,0)</f>
        <v>0</v>
      </c>
      <c r="D85" s="128">
        <f>IF(D113=0,Zusatzeingaben!D205,0)</f>
        <v>0</v>
      </c>
      <c r="E85" s="128">
        <f>IF(E113=0,Zusatzeingaben!E205,0)</f>
        <v>0</v>
      </c>
      <c r="F85" s="128">
        <f>IF(F113=0,Zusatzeingaben!F205,0)</f>
        <v>0</v>
      </c>
      <c r="G85" s="128">
        <f>IF(G113=0,Zusatzeingaben!G205,0)</f>
        <v>0</v>
      </c>
      <c r="H85" s="128">
        <f>IF(H113=0,Zusatzeingaben!H205,0)</f>
        <v>0</v>
      </c>
      <c r="I85" s="190">
        <f>IF(I113=0,Zusatzeingaben!I205,0)</f>
        <v>0</v>
      </c>
      <c r="K85" s="616"/>
    </row>
    <row r="86" spans="1:11" ht="18" hidden="1" customHeight="1">
      <c r="A86" s="411"/>
      <c r="B86" s="128"/>
      <c r="C86" s="128">
        <f>IF(C85=Zusatzeingaben!C205,C85,C84)</f>
        <v>0</v>
      </c>
      <c r="D86" s="128">
        <f>IF(D85=Zusatzeingaben!D205,D85,D84)</f>
        <v>0</v>
      </c>
      <c r="E86" s="128">
        <f>IF(E85=Zusatzeingaben!E205,E85,E84)</f>
        <v>0</v>
      </c>
      <c r="F86" s="128">
        <f>IF(F85=Zusatzeingaben!F205,F85,F84)</f>
        <v>0</v>
      </c>
      <c r="G86" s="128">
        <f>IF(G85=Zusatzeingaben!G205,G85,G84)</f>
        <v>0</v>
      </c>
      <c r="H86" s="128">
        <f>IF(H85=Zusatzeingaben!H205,H85,H84)</f>
        <v>0</v>
      </c>
      <c r="I86" s="190">
        <f>IF(I85=Zusatzeingaben!I205,I85,I84)</f>
        <v>0</v>
      </c>
    </row>
    <row r="87" spans="1:11" ht="18" customHeight="1">
      <c r="A87" s="408">
        <f>IF(B87&gt;0,"./. Beiträge Krankheit/ Alter/ ZVK",0)</f>
        <v>0</v>
      </c>
      <c r="B87" s="297">
        <f>SUM(C87:I87)</f>
        <v>0</v>
      </c>
      <c r="C87" s="295">
        <f>IF(C70=0,0,IF(AND(C114&gt;0,C54&lt;=400),0,IF(AND(C114&gt;0,Zusatzeingaben!C141=0),0,IF(AND(C120=Zusatzeingaben!C189,C61&gt;0,Zusatzeingaben!C189&gt;0),0,C86))))</f>
        <v>0</v>
      </c>
      <c r="D87" s="295">
        <f>IF(D70=0,0,IF(AND(D114&gt;0,D54&lt;=400),0,IF(AND(D114&gt;0,Zusatzeingaben!D141=0),0,IF(AND(D120=Zusatzeingaben!D189,D61&gt;0,Zusatzeingaben!D189&gt;0),0,D86))))</f>
        <v>0</v>
      </c>
      <c r="E87" s="295">
        <f>IF(E70=0,0,IF(AND(E114&gt;0,E54&lt;=400),0,IF(AND(E114&gt;0,Zusatzeingaben!E141=0),0,IF(AND(E120=Zusatzeingaben!E189,E61&gt;0,Zusatzeingaben!E189&gt;0),0,E86))))</f>
        <v>0</v>
      </c>
      <c r="F87" s="295">
        <f>IF(F70=0,0,IF(AND(F114&gt;0,F54&lt;=400),0,IF(AND(F114&gt;0,Zusatzeingaben!F141=0),0,IF(AND(F120=Zusatzeingaben!F189,F61&gt;0,Zusatzeingaben!F189&gt;0),0,F86))))</f>
        <v>0</v>
      </c>
      <c r="G87" s="295">
        <f>IF(G70=0,0,IF(AND(G114&gt;0,G54&lt;=400),0,IF(AND(G114&gt;0,Zusatzeingaben!G141=0),0,IF(AND(G120=Zusatzeingaben!G189,G61&gt;0,Zusatzeingaben!G189&gt;0),0,G86))))</f>
        <v>0</v>
      </c>
      <c r="H87" s="295">
        <f>IF(H70=0,0,IF(AND(H114&gt;0,H54&lt;=400),0,IF(AND(H114&gt;0,Zusatzeingaben!H141=0),0,IF(AND(H120=Zusatzeingaben!H189,H61&gt;0,Zusatzeingaben!H189&gt;0),0,H86))))</f>
        <v>0</v>
      </c>
      <c r="I87" s="296">
        <f>IF(I70=0,0,IF(AND(I114&gt;0,I54&lt;=400),0,IF(AND(I114&gt;0,Zusatzeingaben!I141=0),0,IF(AND(I120=Zusatzeingaben!I189,I61&gt;0,Zusatzeingaben!I189&gt;0),0,I86))))</f>
        <v>0</v>
      </c>
    </row>
    <row r="88" spans="1:11" ht="16.5" hidden="1" customHeight="1">
      <c r="A88" s="411"/>
      <c r="B88" s="128"/>
      <c r="C88" s="128">
        <f>IF(AND(Zusatzeingaben!C161&gt;0,Zusatzeingaben!C164=Zusatzeingaben!C161),0,Zusatzeingaben!C213)</f>
        <v>0</v>
      </c>
      <c r="D88" s="128">
        <f>IF(AND(Zusatzeingaben!D161&gt;0,Zusatzeingaben!D164=Zusatzeingaben!D161),0,Zusatzeingaben!D213)</f>
        <v>0</v>
      </c>
      <c r="E88" s="128">
        <f>IF(AND(Zusatzeingaben!E161&gt;0,Zusatzeingaben!E164=Zusatzeingaben!E161),0,Zusatzeingaben!E213)</f>
        <v>0</v>
      </c>
      <c r="F88" s="128">
        <f>IF(AND(Zusatzeingaben!F161&gt;0,Zusatzeingaben!F164=Zusatzeingaben!F161),0,Zusatzeingaben!F213)</f>
        <v>0</v>
      </c>
      <c r="G88" s="128">
        <f>IF(AND(Zusatzeingaben!G161&gt;0,Zusatzeingaben!G164=Zusatzeingaben!G161),0,Zusatzeingaben!G213)</f>
        <v>0</v>
      </c>
      <c r="H88" s="128">
        <f>IF(AND(Zusatzeingaben!H161&gt;0,Zusatzeingaben!H164=Zusatzeingaben!H161),0,Zusatzeingaben!H213)</f>
        <v>0</v>
      </c>
      <c r="I88" s="190">
        <f>IF(AND(Zusatzeingaben!I161&gt;0,Zusatzeingaben!I164=Zusatzeingaben!I161),0,Zusatzeingaben!I213)</f>
        <v>0</v>
      </c>
    </row>
    <row r="89" spans="1:11" ht="16.5" hidden="1" customHeight="1">
      <c r="A89" s="411"/>
      <c r="B89" s="128"/>
      <c r="C89" s="128">
        <f>IF(AND(Zusatzeingaben!C215&gt;C113,C78&lt;&gt;Zusatzeingaben!C204),C88,0)</f>
        <v>0</v>
      </c>
      <c r="D89" s="128">
        <f>IF(AND(Zusatzeingaben!D215&gt;D113,D78&lt;&gt;Zusatzeingaben!D204),D88,0)</f>
        <v>0</v>
      </c>
      <c r="E89" s="128">
        <f>IF(AND(Zusatzeingaben!E215&gt;E113,E78&lt;&gt;Zusatzeingaben!E204),E88,0)</f>
        <v>0</v>
      </c>
      <c r="F89" s="128">
        <f>IF(AND(Zusatzeingaben!F215&gt;F113,F78&lt;&gt;Zusatzeingaben!F204),F88,0)</f>
        <v>0</v>
      </c>
      <c r="G89" s="128">
        <f>IF(AND(Zusatzeingaben!G215&gt;G113,G78&lt;&gt;Zusatzeingaben!G204),G88,0)</f>
        <v>0</v>
      </c>
      <c r="H89" s="128">
        <f>IF(AND(Zusatzeingaben!H215&gt;H113,H78&lt;&gt;Zusatzeingaben!H204),H88,0)</f>
        <v>0</v>
      </c>
      <c r="I89" s="190">
        <f>IF(AND(Zusatzeingaben!I215&gt;I113,I78&lt;&gt;Zusatzeingaben!I204),I88,0)</f>
        <v>0</v>
      </c>
    </row>
    <row r="90" spans="1:11" ht="16.5" hidden="1" customHeight="1">
      <c r="A90" s="411"/>
      <c r="B90" s="128"/>
      <c r="C90" s="128">
        <f>IF(C113=0,Zusatzeingaben!C213,0)</f>
        <v>0</v>
      </c>
      <c r="D90" s="128">
        <f>IF(D113=0,Zusatzeingaben!D213,0)</f>
        <v>0</v>
      </c>
      <c r="E90" s="128">
        <f>IF(E113=0,Zusatzeingaben!E213,0)</f>
        <v>0</v>
      </c>
      <c r="F90" s="128">
        <f>IF(F113=0,Zusatzeingaben!F213,0)</f>
        <v>0</v>
      </c>
      <c r="G90" s="128">
        <f>IF(G113=0,Zusatzeingaben!G213,0)</f>
        <v>0</v>
      </c>
      <c r="H90" s="128">
        <f>IF(H113=0,Zusatzeingaben!H213,0)</f>
        <v>0</v>
      </c>
      <c r="I90" s="190">
        <f>IF(I113=0,Zusatzeingaben!I213,0)</f>
        <v>0</v>
      </c>
    </row>
    <row r="91" spans="1:11" ht="16.5" hidden="1" customHeight="1">
      <c r="A91" s="411"/>
      <c r="B91" s="128"/>
      <c r="C91" s="128">
        <f>IF(C90=Zusatzeingaben!C213,C90,C89)</f>
        <v>0</v>
      </c>
      <c r="D91" s="128">
        <f>IF(D90=Zusatzeingaben!D213,D90,D89)</f>
        <v>0</v>
      </c>
      <c r="E91" s="128">
        <f>IF(E90=Zusatzeingaben!E213,E90,E89)</f>
        <v>0</v>
      </c>
      <c r="F91" s="128">
        <f>IF(F90=Zusatzeingaben!F213,F90,F89)</f>
        <v>0</v>
      </c>
      <c r="G91" s="128">
        <f>IF(G90=Zusatzeingaben!G213,G90,G89)</f>
        <v>0</v>
      </c>
      <c r="H91" s="128">
        <f>IF(H90=Zusatzeingaben!H213,H90,H89)</f>
        <v>0</v>
      </c>
      <c r="I91" s="190">
        <f>IF(I90=Zusatzeingaben!I213,I90,I89)</f>
        <v>0</v>
      </c>
    </row>
    <row r="92" spans="1:11">
      <c r="A92" s="408">
        <f>IF(B92&gt;0,"./. Beiträge Riester-Rente",0)</f>
        <v>0</v>
      </c>
      <c r="B92" s="297">
        <f>SUM(C92:I92)</f>
        <v>0</v>
      </c>
      <c r="C92" s="295">
        <f>IF(C70=0,0,IF(AND(C114&gt;0,C54&lt;=400),0,IF(AND(C114&gt;0,Zusatzeingaben!C141=0),0,IF(AND(C120=Zusatzeingaben!C189,C61&gt;0,Zusatzeingaben!C189&gt;0),0,C91))))</f>
        <v>0</v>
      </c>
      <c r="D92" s="295">
        <f>IF(D70=0,0,IF(AND(D114&gt;0,D54&lt;=400),0,IF(AND(D114&gt;0,Zusatzeingaben!D141=0),0,IF(AND(D120=Zusatzeingaben!D189,D61&gt;0,Zusatzeingaben!D189&gt;0),0,D91))))</f>
        <v>0</v>
      </c>
      <c r="E92" s="295">
        <f>IF(E70=0,0,IF(AND(E114&gt;0,E54&lt;=400),0,IF(AND(E114&gt;0,Zusatzeingaben!E141=0),0,IF(AND(E120=Zusatzeingaben!E189,E61&gt;0,Zusatzeingaben!E189&gt;0),0,E91))))</f>
        <v>0</v>
      </c>
      <c r="F92" s="295">
        <f>IF(F70=0,0,IF(AND(F114&gt;0,F54&lt;=400),0,IF(AND(F114&gt;0,Zusatzeingaben!F141=0),0,IF(AND(F120=Zusatzeingaben!F189,F61&gt;0,Zusatzeingaben!F189&gt;0),0,F91))))</f>
        <v>0</v>
      </c>
      <c r="G92" s="295">
        <f>IF(G70=0,0,IF(AND(G114&gt;0,G54&lt;=400),0,IF(AND(G114&gt;0,Zusatzeingaben!G141=0),0,IF(AND(G120=Zusatzeingaben!G189,G61&gt;0,Zusatzeingaben!G189&gt;0),0,G91))))</f>
        <v>0</v>
      </c>
      <c r="H92" s="295">
        <f>IF(H70=0,0,IF(AND(H114&gt;0,H54&lt;=400),0,IF(AND(H114&gt;0,Zusatzeingaben!H141=0),0,IF(AND(H120=Zusatzeingaben!H189,H61&gt;0,Zusatzeingaben!H189&gt;0),0,H91))))</f>
        <v>0</v>
      </c>
      <c r="I92" s="296">
        <f>IF(I70=0,0,IF(AND(I114&gt;0,I54&lt;=400),0,IF(AND(I114&gt;0,Zusatzeingaben!I141=0),0,IF(AND(I120=Zusatzeingaben!I189,I61&gt;0,Zusatzeingaben!I189&gt;0),0,I91))))</f>
        <v>0</v>
      </c>
    </row>
    <row r="93" spans="1:11" hidden="1">
      <c r="A93" s="408"/>
      <c r="B93" s="128"/>
      <c r="C93" s="128">
        <f>IF(AND(Zusatzeingaben!C161&gt;0,Zusatzeingaben!C164=Zusatzeingaben!C161),0,Zusatzeingaben!C127)</f>
        <v>0</v>
      </c>
      <c r="D93" s="128">
        <f>IF(AND(Zusatzeingaben!D161&gt;0,Zusatzeingaben!D164=Zusatzeingaben!D161),0,Zusatzeingaben!D127)</f>
        <v>0</v>
      </c>
      <c r="E93" s="128">
        <f>IF(AND(Zusatzeingaben!E161&gt;0,Zusatzeingaben!E164=Zusatzeingaben!E161),0,Zusatzeingaben!E127)</f>
        <v>0</v>
      </c>
      <c r="F93" s="128">
        <f>IF(AND(Zusatzeingaben!F161&gt;0,Zusatzeingaben!F164=Zusatzeingaben!F161),0,Zusatzeingaben!F127)</f>
        <v>0</v>
      </c>
      <c r="G93" s="128">
        <f>IF(AND(Zusatzeingaben!G161&gt;0,Zusatzeingaben!G164=Zusatzeingaben!G161),0,Zusatzeingaben!G127)</f>
        <v>0</v>
      </c>
      <c r="H93" s="128">
        <f>IF(AND(Zusatzeingaben!H161&gt;0,Zusatzeingaben!H164=Zusatzeingaben!H161),0,Zusatzeingaben!H127)</f>
        <v>0</v>
      </c>
      <c r="I93" s="190">
        <f>IF(AND(Zusatzeingaben!I161&gt;0,Zusatzeingaben!I164=Zusatzeingaben!I161),0,Zusatzeingaben!I127)</f>
        <v>0</v>
      </c>
    </row>
    <row r="94" spans="1:11" hidden="1">
      <c r="A94" s="613"/>
      <c r="B94" s="128"/>
      <c r="C94" s="128">
        <f>IF(AND(Zusatzeingaben!C215&gt;C113,C78&lt;&gt;Zusatzeingaben!C127),C93,0)</f>
        <v>0</v>
      </c>
      <c r="D94" s="128">
        <f>IF(AND(Zusatzeingaben!D215&gt;D113,D78&lt;&gt;Zusatzeingaben!D127),D93,0)</f>
        <v>0</v>
      </c>
      <c r="E94" s="128">
        <f>IF(AND(Zusatzeingaben!E215&gt;E113,E78&lt;&gt;Zusatzeingaben!E127),E93,0)</f>
        <v>0</v>
      </c>
      <c r="F94" s="128">
        <f>IF(AND(Zusatzeingaben!F215&gt;F113,F78&lt;&gt;Zusatzeingaben!F127),F93,0)</f>
        <v>0</v>
      </c>
      <c r="G94" s="128">
        <f>IF(AND(Zusatzeingaben!G215&gt;G113,G78&lt;&gt;Zusatzeingaben!G127),G93,0)</f>
        <v>0</v>
      </c>
      <c r="H94" s="128">
        <f>IF(AND(Zusatzeingaben!H215&gt;H113,H78&lt;&gt;Zusatzeingaben!H127),H93,0)</f>
        <v>0</v>
      </c>
      <c r="I94" s="190">
        <f>IF(AND(Zusatzeingaben!I215&gt;I113,I78&lt;&gt;Zusatzeingaben!I127),I93,0)</f>
        <v>0</v>
      </c>
    </row>
    <row r="95" spans="1:11" hidden="1">
      <c r="A95" s="408"/>
      <c r="B95" s="128"/>
      <c r="C95" s="128">
        <f>IF(C113=0,Zusatzeingaben!C127,0)</f>
        <v>0</v>
      </c>
      <c r="D95" s="128">
        <f>IF(D113=0,Zusatzeingaben!D127,0)</f>
        <v>0</v>
      </c>
      <c r="E95" s="128">
        <f>IF(E113=0,Zusatzeingaben!E127,0)</f>
        <v>0</v>
      </c>
      <c r="F95" s="128">
        <f>IF(F113=0,Zusatzeingaben!F127,0)</f>
        <v>0</v>
      </c>
      <c r="G95" s="128">
        <f>IF(G113=0,Zusatzeingaben!G127,0)</f>
        <v>0</v>
      </c>
      <c r="H95" s="128">
        <f>IF(H113=0,Zusatzeingaben!H127,0)</f>
        <v>0</v>
      </c>
      <c r="I95" s="190">
        <f>IF(I113=0,Zusatzeingaben!I127,0)</f>
        <v>0</v>
      </c>
    </row>
    <row r="96" spans="1:11" hidden="1">
      <c r="A96" s="408"/>
      <c r="B96" s="128"/>
      <c r="C96" s="128">
        <f>IF(C95=Zusatzeingaben!C127,C95,C94)</f>
        <v>0</v>
      </c>
      <c r="D96" s="128">
        <f>IF(D95=Zusatzeingaben!D127,D95,D94)</f>
        <v>0</v>
      </c>
      <c r="E96" s="128">
        <f>IF(E95=Zusatzeingaben!E127,E95,E94)</f>
        <v>0</v>
      </c>
      <c r="F96" s="128">
        <f>IF(F95=Zusatzeingaben!F127,F95,F94)</f>
        <v>0</v>
      </c>
      <c r="G96" s="128">
        <f>IF(G95=Zusatzeingaben!G127,G95,G94)</f>
        <v>0</v>
      </c>
      <c r="H96" s="128">
        <f>IF(H95=Zusatzeingaben!H127,H95,H94)</f>
        <v>0</v>
      </c>
      <c r="I96" s="190">
        <f>IF(I95=Zusatzeingaben!I127,I95,I94)</f>
        <v>0</v>
      </c>
    </row>
    <row r="97" spans="1:9" hidden="1">
      <c r="A97" s="613"/>
      <c r="B97" s="128"/>
      <c r="C97" s="128">
        <f>IF(Zusatzeingaben!C140=0,0,C96)</f>
        <v>0</v>
      </c>
      <c r="D97" s="128">
        <f>IF(Zusatzeingaben!D140=0,0,D96)</f>
        <v>0</v>
      </c>
      <c r="E97" s="128">
        <f>IF(Zusatzeingaben!E140=0,0,E96)</f>
        <v>0</v>
      </c>
      <c r="F97" s="128">
        <f>IF(Zusatzeingaben!F140=0,0,F96)</f>
        <v>0</v>
      </c>
      <c r="G97" s="128">
        <f>IF(Zusatzeingaben!G140=0,0,G96)</f>
        <v>0</v>
      </c>
      <c r="H97" s="128">
        <f>IF(Zusatzeingaben!H140=0,0,H96)</f>
        <v>0</v>
      </c>
      <c r="I97" s="190">
        <f>IF(Zusatzeingaben!I140=0,0,I96)</f>
        <v>0</v>
      </c>
    </row>
    <row r="98" spans="1:9">
      <c r="A98" s="408">
        <f>IF(B98&gt;0,"./. Fahrtkosten",0)</f>
        <v>0</v>
      </c>
      <c r="B98" s="284">
        <f>SUM(C98:I98)</f>
        <v>0</v>
      </c>
      <c r="C98" s="295">
        <f t="shared" ref="C98:I98" si="9">IF(AND(C114&gt;0,C54&lt;=400),0,IF(C75&lt;0,C97+C75,IF(C70=0,0,C97)))</f>
        <v>0</v>
      </c>
      <c r="D98" s="295">
        <f t="shared" si="9"/>
        <v>0</v>
      </c>
      <c r="E98" s="295">
        <f t="shared" si="9"/>
        <v>0</v>
      </c>
      <c r="F98" s="295">
        <f t="shared" si="9"/>
        <v>0</v>
      </c>
      <c r="G98" s="295">
        <f t="shared" si="9"/>
        <v>0</v>
      </c>
      <c r="H98" s="295">
        <f t="shared" si="9"/>
        <v>0</v>
      </c>
      <c r="I98" s="296">
        <f t="shared" si="9"/>
        <v>0</v>
      </c>
    </row>
    <row r="99" spans="1:9" hidden="1">
      <c r="A99" s="408"/>
      <c r="B99" s="62"/>
      <c r="C99" s="128">
        <f>IF(AND(Zusatzeingaben!C161&gt;0,Zusatzeingaben!C164=Zusatzeingaben!C161),0,Zusatzeingaben!C124)</f>
        <v>0</v>
      </c>
      <c r="D99" s="128">
        <f>IF(AND(Zusatzeingaben!D161&gt;0,Zusatzeingaben!D164=Zusatzeingaben!D161),0,Zusatzeingaben!D124)</f>
        <v>0</v>
      </c>
      <c r="E99" s="128">
        <f>IF(AND(Zusatzeingaben!E161&gt;0,Zusatzeingaben!E164=Zusatzeingaben!E161),0,Zusatzeingaben!E124)</f>
        <v>0</v>
      </c>
      <c r="F99" s="128">
        <f>IF(AND(Zusatzeingaben!F161&gt;0,Zusatzeingaben!F164=Zusatzeingaben!F161),0,Zusatzeingaben!F124)</f>
        <v>0</v>
      </c>
      <c r="G99" s="128">
        <f>IF(AND(Zusatzeingaben!G161&gt;0,Zusatzeingaben!G164=Zusatzeingaben!G161),0,Zusatzeingaben!G124)</f>
        <v>0</v>
      </c>
      <c r="H99" s="128">
        <f>IF(AND(Zusatzeingaben!H161&gt;0,Zusatzeingaben!H164=Zusatzeingaben!H161),0,Zusatzeingaben!H124)</f>
        <v>0</v>
      </c>
      <c r="I99" s="190">
        <f>IF(AND(Zusatzeingaben!I161&gt;0,Zusatzeingaben!I164=Zusatzeingaben!I161),0,Zusatzeingaben!I124)</f>
        <v>0</v>
      </c>
    </row>
    <row r="100" spans="1:9" hidden="1">
      <c r="A100" s="613"/>
      <c r="B100" s="62"/>
      <c r="C100" s="128">
        <f>IF(AND(Zusatzeingaben!C215&gt;C113,C78&lt;&gt;Zusatzeingaben!C124),C99,0)</f>
        <v>0</v>
      </c>
      <c r="D100" s="128">
        <f>IF(AND(Zusatzeingaben!D215&gt;D113,D78&lt;&gt;Zusatzeingaben!D124),D99,0)</f>
        <v>0</v>
      </c>
      <c r="E100" s="128">
        <f>IF(AND(Zusatzeingaben!E215&gt;E113,E78&lt;&gt;Zusatzeingaben!E124),E99,0)</f>
        <v>0</v>
      </c>
      <c r="F100" s="128">
        <f>IF(AND(Zusatzeingaben!F215&gt;F113,F78&lt;&gt;Zusatzeingaben!F124),F99,0)</f>
        <v>0</v>
      </c>
      <c r="G100" s="128">
        <f>IF(AND(Zusatzeingaben!G215&gt;G113,G78&lt;&gt;Zusatzeingaben!G124),G99,0)</f>
        <v>0</v>
      </c>
      <c r="H100" s="128">
        <f>IF(AND(Zusatzeingaben!H215&gt;H113,H78&lt;&gt;Zusatzeingaben!H124),H99,0)</f>
        <v>0</v>
      </c>
      <c r="I100" s="190">
        <f>IF(AND(Zusatzeingaben!I215&gt;I113,I78&lt;&gt;Zusatzeingaben!I124),I99,0)</f>
        <v>0</v>
      </c>
    </row>
    <row r="101" spans="1:9" hidden="1">
      <c r="A101" s="408"/>
      <c r="B101" s="62"/>
      <c r="C101" s="128">
        <f>IF(C113=0,Zusatzeingaben!C124,0)</f>
        <v>0</v>
      </c>
      <c r="D101" s="128">
        <f>IF(D113=0,Zusatzeingaben!D124,0)</f>
        <v>0</v>
      </c>
      <c r="E101" s="128">
        <f>IF(E113=0,Zusatzeingaben!E124,0)</f>
        <v>0</v>
      </c>
      <c r="F101" s="128">
        <f>IF(F113=0,Zusatzeingaben!F124,0)</f>
        <v>0</v>
      </c>
      <c r="G101" s="128">
        <f>IF(G113=0,Zusatzeingaben!G124,0)</f>
        <v>0</v>
      </c>
      <c r="H101" s="128">
        <f>IF(H113=0,Zusatzeingaben!H124,0)</f>
        <v>0</v>
      </c>
      <c r="I101" s="190">
        <f>IF(I113=0,Zusatzeingaben!I124,0)</f>
        <v>0</v>
      </c>
    </row>
    <row r="102" spans="1:9" hidden="1">
      <c r="A102" s="408"/>
      <c r="B102" s="62"/>
      <c r="C102" s="128">
        <f>IF(C101=Zusatzeingaben!C124,C101,C99)</f>
        <v>0</v>
      </c>
      <c r="D102" s="128">
        <f>IF(D101=Zusatzeingaben!D124,D101,D99)</f>
        <v>0</v>
      </c>
      <c r="E102" s="128">
        <f>IF(E101=Zusatzeingaben!E124,E101,E99)</f>
        <v>0</v>
      </c>
      <c r="F102" s="128">
        <f>IF(F101=Zusatzeingaben!F124,F101,F99)</f>
        <v>0</v>
      </c>
      <c r="G102" s="128">
        <f>IF(G101=Zusatzeingaben!G124,G101,G99)</f>
        <v>0</v>
      </c>
      <c r="H102" s="128">
        <f>IF(H101=Zusatzeingaben!H124,H101,H99)</f>
        <v>0</v>
      </c>
      <c r="I102" s="190">
        <f>IF(I101=Zusatzeingaben!I124,I101,I99)</f>
        <v>0</v>
      </c>
    </row>
    <row r="103" spans="1:9" hidden="1">
      <c r="A103" s="613"/>
      <c r="B103" s="62"/>
      <c r="C103" s="128">
        <f>IF(Zusatzeingaben!C140=0,0,C102)</f>
        <v>0</v>
      </c>
      <c r="D103" s="128">
        <f>IF(Zusatzeingaben!D140=0,0,D102)</f>
        <v>0</v>
      </c>
      <c r="E103" s="128">
        <f>IF(Zusatzeingaben!E140=0,0,E102)</f>
        <v>0</v>
      </c>
      <c r="F103" s="128">
        <f>IF(Zusatzeingaben!F140=0,0,F102)</f>
        <v>0</v>
      </c>
      <c r="G103" s="128">
        <f>IF(Zusatzeingaben!G140=0,0,G102)</f>
        <v>0</v>
      </c>
      <c r="H103" s="128">
        <f>IF(Zusatzeingaben!H140=0,0,H102)</f>
        <v>0</v>
      </c>
      <c r="I103" s="190">
        <f>IF(Zusatzeingaben!I140=0,0,I102)</f>
        <v>0</v>
      </c>
    </row>
    <row r="104" spans="1:9">
      <c r="A104" s="408">
        <f>IF(B104&gt;0,"./. Verpflegungsmehraufwand",0)</f>
        <v>0</v>
      </c>
      <c r="B104" s="284">
        <f>SUM(C104:I104)</f>
        <v>0</v>
      </c>
      <c r="C104" s="614">
        <f t="shared" ref="C104:I104" si="10">IF(AND(C114&gt;0,C54&lt;=400),0,IF(C70=0,0,C103))</f>
        <v>0</v>
      </c>
      <c r="D104" s="614">
        <f t="shared" si="10"/>
        <v>0</v>
      </c>
      <c r="E104" s="614">
        <f t="shared" si="10"/>
        <v>0</v>
      </c>
      <c r="F104" s="614">
        <f t="shared" si="10"/>
        <v>0</v>
      </c>
      <c r="G104" s="614">
        <f t="shared" si="10"/>
        <v>0</v>
      </c>
      <c r="H104" s="614">
        <f t="shared" si="10"/>
        <v>0</v>
      </c>
      <c r="I104" s="654">
        <f t="shared" si="10"/>
        <v>0</v>
      </c>
    </row>
    <row r="105" spans="1:9" hidden="1">
      <c r="A105" s="408"/>
      <c r="B105" s="62"/>
      <c r="C105" s="128">
        <f>IF(AND(Zusatzeingaben!C161&gt;0,Zusatzeingaben!C164=Zusatzeingaben!C161),0,Zusatzeingaben!C149)</f>
        <v>0</v>
      </c>
      <c r="D105" s="128">
        <f>IF(AND(Zusatzeingaben!D161&gt;0,Zusatzeingaben!D164=Zusatzeingaben!D161),0,Zusatzeingaben!D149)</f>
        <v>0</v>
      </c>
      <c r="E105" s="128">
        <f>IF(AND(Zusatzeingaben!E161&gt;0,Zusatzeingaben!E164=Zusatzeingaben!E161),0,Zusatzeingaben!E149)</f>
        <v>0</v>
      </c>
      <c r="F105" s="128">
        <f>IF(AND(Zusatzeingaben!F161&gt;0,Zusatzeingaben!F164=Zusatzeingaben!F161),0,Zusatzeingaben!F149)</f>
        <v>0</v>
      </c>
      <c r="G105" s="128">
        <f>IF(AND(Zusatzeingaben!G161&gt;0,Zusatzeingaben!G164=Zusatzeingaben!G161),0,Zusatzeingaben!G149)</f>
        <v>0</v>
      </c>
      <c r="H105" s="128">
        <f>IF(AND(Zusatzeingaben!H161&gt;0,Zusatzeingaben!H164=Zusatzeingaben!H161),0,Zusatzeingaben!H149)</f>
        <v>0</v>
      </c>
      <c r="I105" s="190">
        <f>IF(AND(Zusatzeingaben!I161&gt;0,Zusatzeingaben!I164=Zusatzeingaben!I161),0,Zusatzeingaben!I149)</f>
        <v>0</v>
      </c>
    </row>
    <row r="106" spans="1:9" hidden="1">
      <c r="A106" s="408"/>
      <c r="B106" s="62"/>
      <c r="C106" s="128">
        <f>IF(C113=0,Zusatzeingaben!C149,0)</f>
        <v>0</v>
      </c>
      <c r="D106" s="128">
        <f>IF(D113=0,Zusatzeingaben!D149,0)</f>
        <v>0</v>
      </c>
      <c r="E106" s="128">
        <f>IF(E113=0,Zusatzeingaben!E149,0)</f>
        <v>0</v>
      </c>
      <c r="F106" s="128">
        <f>IF(F113=0,Zusatzeingaben!F149,0)</f>
        <v>0</v>
      </c>
      <c r="G106" s="128">
        <f>IF(G113=0,Zusatzeingaben!G149,0)</f>
        <v>0</v>
      </c>
      <c r="H106" s="128">
        <f>IF(H113=0,Zusatzeingaben!H149,0)</f>
        <v>0</v>
      </c>
      <c r="I106" s="190">
        <f>IF(I113=0,Zusatzeingaben!I149,0)</f>
        <v>0</v>
      </c>
    </row>
    <row r="107" spans="1:9" hidden="1">
      <c r="A107" s="411"/>
      <c r="B107" s="62"/>
      <c r="C107" s="128">
        <f>IF(C106&gt;0,C106,C105)</f>
        <v>0</v>
      </c>
      <c r="D107" s="128">
        <f t="shared" ref="D107:I107" si="11">IF(D106&gt;0,D106,D105)</f>
        <v>0</v>
      </c>
      <c r="E107" s="128">
        <f t="shared" si="11"/>
        <v>0</v>
      </c>
      <c r="F107" s="128">
        <f t="shared" si="11"/>
        <v>0</v>
      </c>
      <c r="G107" s="128">
        <f t="shared" si="11"/>
        <v>0</v>
      </c>
      <c r="H107" s="128">
        <f t="shared" si="11"/>
        <v>0</v>
      </c>
      <c r="I107" s="190">
        <f t="shared" si="11"/>
        <v>0</v>
      </c>
    </row>
    <row r="108" spans="1:9">
      <c r="A108" s="409">
        <f>IF(B108&gt;0,"./. Werbungskosten bei Erwerbstätigkeit",0)</f>
        <v>0</v>
      </c>
      <c r="B108" s="284">
        <f>SUM(C108:I108)</f>
        <v>0</v>
      </c>
      <c r="C108" s="128">
        <f>IF(AND(C114&gt;0,C54&lt;=400),0,IF(AND(C58&gt;200,Zusatzeingaben!C159&gt;Zusatzeingaben!C157),Zusatzeingaben!C148,IF(AND($A$57="Gewinn aus selbständiger Tätigkeit",C57&gt;0),0,IF(AND(C54&lt;100,C58&lt;200,C69&gt;0),0,C107))))</f>
        <v>0</v>
      </c>
      <c r="D108" s="128">
        <f>IF(AND(D114&gt;0,D54&lt;=400),0,IF(AND(D58&gt;200,Zusatzeingaben!D159&gt;Zusatzeingaben!D157),Zusatzeingaben!D148,IF(AND($A$57="Gewinn aus selbständiger Tätigkeit",D57&gt;0),0,IF(AND(D54&lt;100,D58&lt;200,D69&gt;0),0,D107))))</f>
        <v>0</v>
      </c>
      <c r="E108" s="128">
        <f>IF(AND(E114&gt;0,E54&lt;=400),0,IF(AND(E58&gt;200,Zusatzeingaben!E159&gt;Zusatzeingaben!E157),Zusatzeingaben!E148,IF(AND($A$57="Gewinn aus selbständiger Tätigkeit",E57&gt;0),0,IF(AND(E54&lt;100,E58&lt;200,E69&gt;0),0,E107))))</f>
        <v>0</v>
      </c>
      <c r="F108" s="128">
        <f>IF(AND(F114&gt;0,F54&lt;=400),0,IF(AND(F58&gt;200,Zusatzeingaben!F159&gt;Zusatzeingaben!F157),Zusatzeingaben!F148,IF(AND($A$57="Gewinn aus selbständiger Tätigkeit",F57&gt;0),0,IF(AND(F54&lt;100,F58&lt;200,F69&gt;0),0,F107))))</f>
        <v>0</v>
      </c>
      <c r="G108" s="128">
        <f>IF(AND(G114&gt;0,G54&lt;=400),0,IF(AND(G58&gt;200,Zusatzeingaben!G159&gt;Zusatzeingaben!G157),Zusatzeingaben!G148,IF(AND($A$57="Gewinn aus selbständiger Tätigkeit",G57&gt;0),0,IF(AND(G54&lt;100,G58&lt;200,G69&gt;0),0,G107))))</f>
        <v>0</v>
      </c>
      <c r="H108" s="128">
        <f>IF(AND(H114&gt;0,H54&lt;=400),0,IF(AND(H58&gt;200,Zusatzeingaben!H159&gt;Zusatzeingaben!H157),Zusatzeingaben!H148,IF(AND($A$57="Gewinn aus selbständiger Tätigkeit",H57&gt;0),0,IF(AND(H54&lt;100,H58&lt;200,H69&gt;0),0,H107))))</f>
        <v>0</v>
      </c>
      <c r="I108" s="190">
        <f>IF(AND(I114&gt;0,I54&lt;=400),0,IF(AND(I58&gt;200,Zusatzeingaben!I159&gt;Zusatzeingaben!I157),Zusatzeingaben!I148,IF(AND($A$57="Gewinn aus selbständiger Tätigkeit",I57&gt;0),0,IF(AND(I54&lt;100,I58&lt;200,I69&gt;0),0,I107))))</f>
        <v>0</v>
      </c>
    </row>
    <row r="109" spans="1:9">
      <c r="A109" s="409">
        <f>IF(B109&gt;0,"./. notwendige Ausgaben",0)</f>
        <v>0</v>
      </c>
      <c r="B109" s="284">
        <f>SUM(C109:I109)</f>
        <v>0</v>
      </c>
      <c r="C109" s="128">
        <f>Zusatzeingaben!C218</f>
        <v>0</v>
      </c>
      <c r="D109" s="128">
        <f>Zusatzeingaben!D218</f>
        <v>0</v>
      </c>
      <c r="E109" s="128">
        <f>Zusatzeingaben!E218</f>
        <v>0</v>
      </c>
      <c r="F109" s="128">
        <f>Zusatzeingaben!F218</f>
        <v>0</v>
      </c>
      <c r="G109" s="128">
        <f>Zusatzeingaben!G218</f>
        <v>0</v>
      </c>
      <c r="H109" s="128">
        <f>Zusatzeingaben!H218</f>
        <v>0</v>
      </c>
      <c r="I109" s="190">
        <f>Zusatzeingaben!I218</f>
        <v>0</v>
      </c>
    </row>
    <row r="110" spans="1:9" ht="16.5" hidden="1" customHeight="1">
      <c r="A110" s="411"/>
      <c r="B110" s="62"/>
      <c r="C110" s="62">
        <f>IF(Zusatzeingaben!C161&gt;200,0,Zusatzeingaben!C161)</f>
        <v>0</v>
      </c>
      <c r="D110" s="62">
        <f>IF(Zusatzeingaben!D161&gt;200,0,Zusatzeingaben!D161)</f>
        <v>0</v>
      </c>
      <c r="E110" s="62">
        <f>IF(Zusatzeingaben!E161&gt;200,0,Zusatzeingaben!E161)</f>
        <v>0</v>
      </c>
      <c r="F110" s="62">
        <f>IF(Zusatzeingaben!F161&gt;200,0,Zusatzeingaben!F161)</f>
        <v>0</v>
      </c>
      <c r="G110" s="62">
        <f>IF(Zusatzeingaben!G161&gt;200,0,Zusatzeingaben!G161)</f>
        <v>0</v>
      </c>
      <c r="H110" s="62">
        <f>IF(Zusatzeingaben!H161&gt;200,0,Zusatzeingaben!H161)</f>
        <v>0</v>
      </c>
      <c r="I110" s="110">
        <f>IF(Zusatzeingaben!I161&gt;200,0,Zusatzeingaben!I161)</f>
        <v>0</v>
      </c>
    </row>
    <row r="111" spans="1:9" ht="16.5" hidden="1" customHeight="1">
      <c r="A111" s="411"/>
      <c r="B111" s="62"/>
      <c r="C111" s="62">
        <f>IF(AND(Zusatzeingaben!C131+Zusatzeingaben!C139&gt;400,Zusatzeingaben!C160&gt;100,Zusatzeingaben!C138&gt;0,Zusatzeingaben!C159+100&gt;Zusatzeingaben!C160),Zusatzeingaben!C159+100,IF(OR(Zusatzeingaben!C153&gt;100,Zusatzeingaben!C156&gt;100),0,IF(AND(Zusatzeingaben!C180&gt;0,Zusatzeingaben!C191&gt;100+Zusatzeingaben!C190),0,C110)))</f>
        <v>0</v>
      </c>
      <c r="D111" s="62">
        <f>IF(AND(Zusatzeingaben!D131+Zusatzeingaben!D139&gt;400,Zusatzeingaben!D160&gt;100,Zusatzeingaben!D138&gt;0,Zusatzeingaben!D159+100&gt;Zusatzeingaben!D160),Zusatzeingaben!D159+100,IF(OR(Zusatzeingaben!D153&gt;100,Zusatzeingaben!D156&gt;100),0,IF(AND(Zusatzeingaben!D180&gt;0,Zusatzeingaben!D191&gt;100+Zusatzeingaben!D190),0,D110)))</f>
        <v>0</v>
      </c>
      <c r="E111" s="62">
        <f>IF(AND(Zusatzeingaben!E131+Zusatzeingaben!E139&gt;400,Zusatzeingaben!E160&gt;100,Zusatzeingaben!E138&gt;0,Zusatzeingaben!E159+100&gt;Zusatzeingaben!E160),Zusatzeingaben!E159+100,IF(OR(Zusatzeingaben!E153&gt;100,Zusatzeingaben!E156&gt;100),0,IF(AND(Zusatzeingaben!E180&gt;0,Zusatzeingaben!E191&gt;100+Zusatzeingaben!E190),0,E110)))</f>
        <v>0</v>
      </c>
      <c r="F111" s="62">
        <f>IF(AND(Zusatzeingaben!F131+Zusatzeingaben!F139&gt;400,Zusatzeingaben!F160&gt;100,Zusatzeingaben!F138&gt;0,Zusatzeingaben!F159+100&gt;Zusatzeingaben!F160),Zusatzeingaben!F159+100,IF(OR(Zusatzeingaben!F153&gt;100,Zusatzeingaben!F156&gt;100),0,IF(AND(Zusatzeingaben!F180&gt;0,Zusatzeingaben!F191&gt;100+Zusatzeingaben!F190),0,F110)))</f>
        <v>0</v>
      </c>
      <c r="G111" s="62">
        <f>IF(AND(Zusatzeingaben!G131+Zusatzeingaben!G139&gt;400,Zusatzeingaben!G160&gt;100,Zusatzeingaben!G138&gt;0,Zusatzeingaben!G159+100&gt;Zusatzeingaben!G160),Zusatzeingaben!G159+100,IF(OR(Zusatzeingaben!G153&gt;100,Zusatzeingaben!G156&gt;100),0,IF(AND(Zusatzeingaben!G180&gt;0,Zusatzeingaben!G191&gt;100+Zusatzeingaben!G190),0,G110)))</f>
        <v>0</v>
      </c>
      <c r="H111" s="62">
        <f>IF(AND(Zusatzeingaben!H131+Zusatzeingaben!H139&gt;400,Zusatzeingaben!H160&gt;100,Zusatzeingaben!H138&gt;0,Zusatzeingaben!H159+100&gt;Zusatzeingaben!H160),Zusatzeingaben!H159+100,IF(OR(Zusatzeingaben!H153&gt;100,Zusatzeingaben!H156&gt;100),0,IF(AND(Zusatzeingaben!H180&gt;0,Zusatzeingaben!H191&gt;100+Zusatzeingaben!H190),0,H110)))</f>
        <v>0</v>
      </c>
      <c r="I111" s="110">
        <f>IF(AND(Zusatzeingaben!I131+Zusatzeingaben!I139&gt;400,Zusatzeingaben!I160&gt;100,Zusatzeingaben!I138&gt;0,Zusatzeingaben!I159+100&gt;Zusatzeingaben!I160),Zusatzeingaben!I159+100,IF(OR(Zusatzeingaben!I153&gt;100,Zusatzeingaben!I156&gt;100),0,IF(AND(Zusatzeingaben!I180&gt;0,Zusatzeingaben!I191&gt;100+Zusatzeingaben!I190),0,I110)))</f>
        <v>0</v>
      </c>
    </row>
    <row r="112" spans="1:9" ht="16.5" hidden="1" customHeight="1">
      <c r="A112" s="411"/>
      <c r="B112" s="62"/>
      <c r="C112" s="62">
        <f>IF(OR(Zusatzeingaben!C161=100,Zusatzeingaben!C161=200),Zusatzeingaben!C161,C111)</f>
        <v>0</v>
      </c>
      <c r="D112" s="62">
        <f>IF(OR(Zusatzeingaben!D161=100,Zusatzeingaben!D161=200),Zusatzeingaben!D161,D111)</f>
        <v>0</v>
      </c>
      <c r="E112" s="62">
        <f>IF(OR(Zusatzeingaben!E161=100,Zusatzeingaben!E161=200),Zusatzeingaben!E161,E111)</f>
        <v>0</v>
      </c>
      <c r="F112" s="62">
        <f>IF(OR(Zusatzeingaben!F161=100,Zusatzeingaben!F161=200),Zusatzeingaben!F161,F111)</f>
        <v>0</v>
      </c>
      <c r="G112" s="62">
        <f>IF(OR(Zusatzeingaben!G161=100,Zusatzeingaben!G161=200),Zusatzeingaben!G161,G111)</f>
        <v>0</v>
      </c>
      <c r="H112" s="62">
        <f>IF(OR(Zusatzeingaben!H161=100,Zusatzeingaben!H161=200),Zusatzeingaben!H161,H111)</f>
        <v>0</v>
      </c>
      <c r="I112" s="110">
        <f>IF(OR(Zusatzeingaben!I161=100,Zusatzeingaben!I161=200),Zusatzeingaben!I161,I111)</f>
        <v>0</v>
      </c>
    </row>
    <row r="113" spans="1:9" ht="16.5" customHeight="1">
      <c r="A113" s="408">
        <f>IF(B113&gt;0,"./. Grundfreibetrag Lohn / Ehrenamt",0)</f>
        <v>0</v>
      </c>
      <c r="B113" s="284">
        <f>SUM(C113:I113)</f>
        <v>0</v>
      </c>
      <c r="C113" s="62">
        <f>IF(AND(Zusatzeingaben!C180&gt;0,Zusatzeingaben!C180&lt;Zusatzeingaben!C191),C112,IF(AND(Zusatzeingaben!C180&gt;0,C111=0,Zusatzeingaben!C191&gt;100),0,IF(C110&lt;100,C110,C112)))</f>
        <v>0</v>
      </c>
      <c r="D113" s="62">
        <f>IF(AND(Zusatzeingaben!D180&gt;0,Zusatzeingaben!D180&lt;Zusatzeingaben!D191),D112,IF(AND(Zusatzeingaben!D180&gt;0,D111=0,Zusatzeingaben!D191&gt;100),0,IF(D110&lt;100,D110,D112)))</f>
        <v>0</v>
      </c>
      <c r="E113" s="62">
        <f>IF(AND(Zusatzeingaben!E180&gt;0,Zusatzeingaben!E180&lt;Zusatzeingaben!E191),E112,IF(AND(Zusatzeingaben!E180&gt;0,E111=0,Zusatzeingaben!E191&gt;100),0,IF(E110&lt;100,E110,E112)))</f>
        <v>0</v>
      </c>
      <c r="F113" s="62">
        <f>IF(AND(Zusatzeingaben!F180&gt;0,Zusatzeingaben!F180&lt;Zusatzeingaben!F191),F112,IF(AND(Zusatzeingaben!F180&gt;0,F111=0,Zusatzeingaben!F191&gt;100),0,IF(F110&lt;100,F110,F112)))</f>
        <v>0</v>
      </c>
      <c r="G113" s="62">
        <f>IF(AND(Zusatzeingaben!G180&gt;0,Zusatzeingaben!G180&lt;Zusatzeingaben!G191),G112,IF(AND(Zusatzeingaben!G180&gt;0,G111=0,Zusatzeingaben!G191&gt;100),0,IF(G110&lt;100,G110,G112)))</f>
        <v>0</v>
      </c>
      <c r="H113" s="62">
        <f>IF(AND(Zusatzeingaben!H180&gt;0,Zusatzeingaben!H180&lt;Zusatzeingaben!H191),H112,IF(AND(Zusatzeingaben!H180&gt;0,H111=0,Zusatzeingaben!H191&gt;100),0,IF(H110&lt;100,H110,H112)))</f>
        <v>0</v>
      </c>
      <c r="I113" s="110">
        <f>IF(AND(Zusatzeingaben!I180&gt;0,Zusatzeingaben!I180&lt;Zusatzeingaben!I191),I112,IF(AND(Zusatzeingaben!I180&gt;0,I111=0,Zusatzeingaben!I191&gt;100),0,IF(I110&lt;100,I110,I112)))</f>
        <v>0</v>
      </c>
    </row>
    <row r="114" spans="1:9" ht="16.5" customHeight="1">
      <c r="A114" s="408">
        <f>IF(B114&gt;0,"./. Freibetrag Freiwilligendienste",0)</f>
        <v>0</v>
      </c>
      <c r="B114" s="284">
        <f t="shared" ref="B114:B120" si="12">SUM(C114:I114)</f>
        <v>0</v>
      </c>
      <c r="C114" s="62">
        <f>Zusatzeingaben!C173</f>
        <v>0</v>
      </c>
      <c r="D114" s="62">
        <f>Zusatzeingaben!D173</f>
        <v>0</v>
      </c>
      <c r="E114" s="62">
        <f>Zusatzeingaben!E173</f>
        <v>0</v>
      </c>
      <c r="F114" s="62">
        <f>Zusatzeingaben!F173</f>
        <v>0</v>
      </c>
      <c r="G114" s="62">
        <f>Zusatzeingaben!G173</f>
        <v>0</v>
      </c>
      <c r="H114" s="62">
        <f>Zusatzeingaben!H173</f>
        <v>0</v>
      </c>
      <c r="I114" s="110">
        <f>Zusatzeingaben!I173</f>
        <v>0</v>
      </c>
    </row>
    <row r="115" spans="1:9" s="212" customFormat="1" ht="16.5" hidden="1" customHeight="1">
      <c r="A115" s="409"/>
      <c r="B115" s="62"/>
      <c r="C115" s="62">
        <f>IF(AND(Zusatzeingaben!C197&gt;0,C58=0),C54*30%,IF(AND(Zusatzeingaben!C34="nein",C58=0),C54*30%,0))</f>
        <v>0</v>
      </c>
      <c r="D115" s="62">
        <f>IF(AND(Zusatzeingaben!D197&gt;0,D58=0),D54*30%,IF(AND(Zusatzeingaben!D34="nein",D58=0),D54*30%,0))</f>
        <v>0</v>
      </c>
      <c r="E115" s="62">
        <f>IF(AND(Zusatzeingaben!E18&gt;14,Zusatzeingaben!E34="nein",E58=0),E54*30%,0)</f>
        <v>0</v>
      </c>
      <c r="F115" s="62">
        <f>IF(AND(Zusatzeingaben!F18&gt;14,Zusatzeingaben!F34="nein",F58=0),F54*30%,0)</f>
        <v>0</v>
      </c>
      <c r="G115" s="62">
        <f>IF(AND(Zusatzeingaben!G18&gt;14,Zusatzeingaben!G34="nein",G58=0),G54*30%,0)</f>
        <v>0</v>
      </c>
      <c r="H115" s="62">
        <f>IF(AND(Zusatzeingaben!H18&gt;14,Zusatzeingaben!H34="nein",H58=0),H54*30%,0)</f>
        <v>0</v>
      </c>
      <c r="I115" s="110">
        <f>IF(AND(Zusatzeingaben!I18&gt;14,Zusatzeingaben!I34="nein",I58=0),I54*30%,0)</f>
        <v>0</v>
      </c>
    </row>
    <row r="116" spans="1:9" s="212" customFormat="1" ht="16.5" hidden="1" customHeight="1">
      <c r="A116" s="409"/>
      <c r="B116" s="62"/>
      <c r="C116" s="62">
        <f>IF(AND(Zusatzeingaben!C197&gt;0,C115=0,C58&gt;0),0,IF(AND(Zusatzeingaben!C34="nein",C115=0,C58&gt;0),0,IF(C115&gt;0,MIN(C115,Zusatzeingaben!$C$233*50%),D190)))</f>
        <v>0</v>
      </c>
      <c r="D116" s="62">
        <f>IF(AND(Zusatzeingaben!D197&gt;0,D115=0,D58&gt;0),0,IF(AND(Zusatzeingaben!D34="nein",D115=0,D58&gt;0),0,IF(D115&gt;0,MIN(D115,Zusatzeingaben!$C$233*50%),D195)))</f>
        <v>0</v>
      </c>
      <c r="E116" s="62">
        <f>IF(AND(Zusatzeingaben!E18&gt;14,Zusatzeingaben!E34="nein",E115=0,E58&gt;0),0,IF(Zusatzeingaben!E18&lt;15,0,IF(E115&gt;0,MIN(E115,Zusatzeingaben!$C$233*50%),D200)))</f>
        <v>0</v>
      </c>
      <c r="F116" s="62">
        <f>IF(AND(Zusatzeingaben!F18&gt;14,Zusatzeingaben!F34="nein",F115=0,F58&gt;0),0,IF(Zusatzeingaben!F18&lt;15,0,IF(F115&gt;0,MIN(F115,Zusatzeingaben!$C$233*50%),D205)))</f>
        <v>0</v>
      </c>
      <c r="G116" s="62">
        <f>IF(AND(Zusatzeingaben!G18&gt;14,Zusatzeingaben!G34="nein",G115=0,G58&gt;0),0,IF(Zusatzeingaben!G18&lt;15,0,IF(G115&gt;0,MIN(G115,Zusatzeingaben!$C$233*50%),D210)))</f>
        <v>0</v>
      </c>
      <c r="H116" s="62">
        <f>IF(AND(Zusatzeingaben!H18&gt;14,Zusatzeingaben!H34="nein",H115=0,H58&gt;0),0,IF(Zusatzeingaben!H18&lt;15,0,IF(H115&gt;0,MIN(H115,Zusatzeingaben!$C$233*50%),D215)))</f>
        <v>0</v>
      </c>
      <c r="I116" s="110">
        <f>IF(AND(Zusatzeingaben!I18&gt;14,Zusatzeingaben!I34="nein",I115=0,I58&gt;0),0,IF(Zusatzeingaben!I18&lt;15,0,IF(I115&gt;0,MIN(I115,Zusatzeingaben!$C$233*50%),D220)))</f>
        <v>0</v>
      </c>
    </row>
    <row r="117" spans="1:9" s="212" customFormat="1" ht="16.5" customHeight="1">
      <c r="A117" s="409">
        <f>IF(B117&gt;0,"./. Freibetrag bei Erwerbstätigkeit",0)</f>
        <v>0</v>
      </c>
      <c r="B117" s="284">
        <f t="shared" si="12"/>
        <v>0</v>
      </c>
      <c r="C117" s="62">
        <f>IF(C54+C58-C113=0,0,IF(C54+C58-C113-C116&lt;0,C54+C58-C113,C116))</f>
        <v>0</v>
      </c>
      <c r="D117" s="62">
        <f t="shared" ref="D117:I117" si="13">IF(D54+D58-D113=0,0,IF(D54+D58-D113-D116&lt;0,D54+D58-D113,D116))</f>
        <v>0</v>
      </c>
      <c r="E117" s="62">
        <f t="shared" si="13"/>
        <v>0</v>
      </c>
      <c r="F117" s="62">
        <f t="shared" si="13"/>
        <v>0</v>
      </c>
      <c r="G117" s="62">
        <f t="shared" si="13"/>
        <v>0</v>
      </c>
      <c r="H117" s="62">
        <f t="shared" si="13"/>
        <v>0</v>
      </c>
      <c r="I117" s="110">
        <f t="shared" si="13"/>
        <v>0</v>
      </c>
    </row>
    <row r="118" spans="1:9" s="212" customFormat="1" ht="16.5" customHeight="1">
      <c r="A118" s="409">
        <f>IF(B118&gt;0,"./. Unterhaltsverpflichtungen",0)</f>
        <v>0</v>
      </c>
      <c r="B118" s="284">
        <f t="shared" si="12"/>
        <v>0</v>
      </c>
      <c r="C118" s="62">
        <f>IF(C70=0,0,Zusatzeingaben!C219)</f>
        <v>0</v>
      </c>
      <c r="D118" s="62">
        <f>IF(D70=0,0,Zusatzeingaben!D219)</f>
        <v>0</v>
      </c>
      <c r="E118" s="62">
        <f>IF(E70=0,0,Zusatzeingaben!E219)</f>
        <v>0</v>
      </c>
      <c r="F118" s="62">
        <f>IF(F70=0,0,Zusatzeingaben!F219)</f>
        <v>0</v>
      </c>
      <c r="G118" s="62">
        <f>IF(G70=0,0,Zusatzeingaben!G219)</f>
        <v>0</v>
      </c>
      <c r="H118" s="62">
        <f>IF(H70=0,0,Zusatzeingaben!H219)</f>
        <v>0</v>
      </c>
      <c r="I118" s="110">
        <f>IF(I70=0,0,Zusatzeingaben!I219)</f>
        <v>0</v>
      </c>
    </row>
    <row r="119" spans="1:9" s="212" customFormat="1" ht="16.5" customHeight="1">
      <c r="A119" s="415">
        <f>IF(B119&gt;0,"./. Elterngeldfreibetrag",0)</f>
        <v>0</v>
      </c>
      <c r="B119" s="284">
        <f t="shared" si="12"/>
        <v>0</v>
      </c>
      <c r="C119" s="62">
        <f>Zusatzeingaben!C179</f>
        <v>0</v>
      </c>
      <c r="D119" s="62">
        <f>Zusatzeingaben!D179</f>
        <v>0</v>
      </c>
      <c r="E119" s="62"/>
      <c r="F119" s="62"/>
      <c r="G119" s="298"/>
      <c r="H119" s="298"/>
      <c r="I119" s="299"/>
    </row>
    <row r="120" spans="1:9" s="212" customFormat="1" ht="18" customHeight="1" thickBot="1">
      <c r="A120" s="836">
        <f>IF(AND(C120&gt;0,C120=Zusatzeingaben!C189),"./. Grundfreibetrag Ausbildungsförderung",IF(AND(D120&gt;0,D120=Zusatzeingaben!D189),"./. Grundfreibetrag Ausbildungsförderung",IF(AND(E120&gt;0,E120=Zusatzeingaben!E189),"./. Grundfreibetrag Ausbildungsförderung",IF(AND(F120&gt;0,F120=Zusatzeingaben!F189),"./. Grundfreibetrag Ausbildungsförderung",IF(AND(G120&gt;0,G120=Zusatzeingaben!G189),"./. Grundfreibetrag Ausbildungsförderung",IF(AND(H120&gt;0,H120=Zusatzeingaben!H189),"./. Grundfreibetrag Ausbildungsförderung",IF(AND(I120&gt;0,I120=Zusatzeingaben!I189),"./. Grundfreibetrag Ausbildungsförderung",IF(AND(C120&gt;0,C120=Zusatzeingaben!C190),"./. Ausgaben für die Ausbildung",IF(AND(D120&gt;0,D120=Zusatzeingaben!D190),"./. Ausgaben für die Ausbildung",IF(AND(E120&gt;0,E120=Zusatzeingaben!E190),"./. Ausgaben für die Ausbildung",IF(AND(F120&gt;0,F120=Zusatzeingaben!F190),"./. Ausgaben für die Ausbildung",IF(AND(G120&gt;0,G120=Zusatzeingaben!G190),"./. Ausgaben für die Ausbildung",IF(AND(H120&gt;0,H120=Zusatzeingaben!H190),"./. Ausgaben für die Ausbildung",IF(AND(I120&gt;0,I120=Zusatzeingaben!I190),"./. Ausgaben für die Ausbildung",0))))))))))))))</f>
        <v>0</v>
      </c>
      <c r="B120" s="285">
        <f t="shared" si="12"/>
        <v>0</v>
      </c>
      <c r="C120" s="286">
        <f>IF(Zusatzeingaben!C191&gt;100,Zusatzeingaben!C190,IF(AND(Zusatzeingaben!C190&gt;0,Zusatzeingaben!C190&gt;Zusatzeingaben!C189),Zusatzeingaben!C190,Zusatzeingaben!C189))</f>
        <v>0</v>
      </c>
      <c r="D120" s="286">
        <f>IF(Zusatzeingaben!D191&gt;100,Zusatzeingaben!D190,IF(AND(Zusatzeingaben!D190&gt;0,Zusatzeingaben!D190&gt;Zusatzeingaben!D189),Zusatzeingaben!D190,Zusatzeingaben!D189))</f>
        <v>0</v>
      </c>
      <c r="E120" s="286">
        <f>IF(Zusatzeingaben!E191&gt;100,Zusatzeingaben!E190,IF(AND(Zusatzeingaben!E190&gt;0,Zusatzeingaben!E190&gt;Zusatzeingaben!E189),Zusatzeingaben!E190,Zusatzeingaben!E189))</f>
        <v>0</v>
      </c>
      <c r="F120" s="286">
        <f>IF(Zusatzeingaben!F191&gt;100,Zusatzeingaben!F190,IF(AND(Zusatzeingaben!F190&gt;0,Zusatzeingaben!F190&gt;Zusatzeingaben!F189),Zusatzeingaben!F190,Zusatzeingaben!F189))</f>
        <v>0</v>
      </c>
      <c r="G120" s="286">
        <f>IF(Zusatzeingaben!G191&gt;100,Zusatzeingaben!G190,IF(AND(Zusatzeingaben!G190&gt;0,Zusatzeingaben!G190&gt;Zusatzeingaben!G189),Zusatzeingaben!G190,Zusatzeingaben!G189))</f>
        <v>0</v>
      </c>
      <c r="H120" s="286">
        <f>IF(Zusatzeingaben!H191&gt;100,Zusatzeingaben!H190,IF(AND(Zusatzeingaben!H190&gt;0,Zusatzeingaben!H190&gt;Zusatzeingaben!H189),Zusatzeingaben!H190,Zusatzeingaben!H189))</f>
        <v>0</v>
      </c>
      <c r="I120" s="287">
        <f>IF(Zusatzeingaben!I191&gt;100,Zusatzeingaben!I190,IF(AND(Zusatzeingaben!I190&gt;0,Zusatzeingaben!I190&gt;Zusatzeingaben!I189),Zusatzeingaben!I190,Zusatzeingaben!I189))</f>
        <v>0</v>
      </c>
    </row>
    <row r="121" spans="1:9" s="212" customFormat="1" ht="18" hidden="1" customHeight="1">
      <c r="A121" s="250"/>
      <c r="B121" s="137">
        <f>SUM(C121:I121)</f>
        <v>0</v>
      </c>
      <c r="C121" s="612">
        <f t="shared" ref="C121:I121" si="14">C70-C76-C82-C87-C92-C98-C104-C108-C109-C113-C114-C117-C118-C119-C120</f>
        <v>0</v>
      </c>
      <c r="D121" s="612">
        <f t="shared" si="14"/>
        <v>0</v>
      </c>
      <c r="E121" s="612">
        <f t="shared" si="14"/>
        <v>0</v>
      </c>
      <c r="F121" s="612">
        <f t="shared" si="14"/>
        <v>0</v>
      </c>
      <c r="G121" s="612">
        <f t="shared" si="14"/>
        <v>0</v>
      </c>
      <c r="H121" s="612">
        <f t="shared" si="14"/>
        <v>0</v>
      </c>
      <c r="I121" s="717">
        <f t="shared" si="14"/>
        <v>0</v>
      </c>
    </row>
    <row r="122" spans="1:9" s="212" customFormat="1" ht="21" customHeight="1" thickTop="1" thickBot="1">
      <c r="A122" s="344" t="s">
        <v>67</v>
      </c>
      <c r="B122" s="280">
        <f>SUM(C122:I122)</f>
        <v>0</v>
      </c>
      <c r="C122" s="280">
        <f>IF(C121&lt;0,0,C121)</f>
        <v>0</v>
      </c>
      <c r="D122" s="280">
        <f t="shared" ref="D122:I122" si="15">IF(D121&lt;0,0,D121)</f>
        <v>0</v>
      </c>
      <c r="E122" s="280">
        <f t="shared" si="15"/>
        <v>0</v>
      </c>
      <c r="F122" s="280">
        <f t="shared" si="15"/>
        <v>0</v>
      </c>
      <c r="G122" s="280">
        <f t="shared" si="15"/>
        <v>0</v>
      </c>
      <c r="H122" s="280">
        <f t="shared" si="15"/>
        <v>0</v>
      </c>
      <c r="I122" s="281">
        <f t="shared" si="15"/>
        <v>0</v>
      </c>
    </row>
    <row r="123" spans="1:9" s="212" customFormat="1" ht="20.100000000000001" customHeight="1" thickBot="1"/>
    <row r="124" spans="1:9" ht="9.75" hidden="1" customHeight="1"/>
    <row r="125" spans="1:9" s="212" customFormat="1" ht="21.75" customHeight="1">
      <c r="A125" s="221"/>
      <c r="B125" s="345" t="s">
        <v>44</v>
      </c>
      <c r="C125" s="222"/>
      <c r="D125" s="222"/>
      <c r="E125" s="222"/>
      <c r="F125" s="222"/>
      <c r="G125" s="222"/>
      <c r="H125" s="222"/>
      <c r="I125" s="223"/>
    </row>
    <row r="126" spans="1:9" s="212" customFormat="1" ht="18.75" customHeight="1">
      <c r="A126" s="224"/>
      <c r="B126" s="341" t="s">
        <v>1</v>
      </c>
      <c r="C126" s="341" t="str">
        <f>Zusatzeingaben!C4</f>
        <v>Antragsteller</v>
      </c>
      <c r="D126" s="341" t="str">
        <f>Zusatzeingaben!D4</f>
        <v>Partner(in)</v>
      </c>
      <c r="E126" s="341" t="str">
        <f>Zusatzeingaben!E4</f>
        <v>Kind 1</v>
      </c>
      <c r="F126" s="341" t="s">
        <v>8</v>
      </c>
      <c r="G126" s="341" t="s">
        <v>9</v>
      </c>
      <c r="H126" s="341" t="s">
        <v>10</v>
      </c>
      <c r="I126" s="342" t="s">
        <v>34</v>
      </c>
    </row>
    <row r="127" spans="1:9" s="212" customFormat="1" ht="17.25" customHeight="1">
      <c r="A127" s="230" t="s">
        <v>0</v>
      </c>
      <c r="B127" s="284">
        <f>SUM(C127:I127)</f>
        <v>416</v>
      </c>
      <c r="C127" s="295">
        <f t="shared" ref="C127:I127" si="16">C50</f>
        <v>416</v>
      </c>
      <c r="D127" s="295">
        <f t="shared" si="16"/>
        <v>0</v>
      </c>
      <c r="E127" s="295">
        <f t="shared" si="16"/>
        <v>0</v>
      </c>
      <c r="F127" s="295">
        <f t="shared" si="16"/>
        <v>0</v>
      </c>
      <c r="G127" s="295">
        <f t="shared" si="16"/>
        <v>0</v>
      </c>
      <c r="H127" s="295">
        <f t="shared" si="16"/>
        <v>0</v>
      </c>
      <c r="I127" s="296">
        <f t="shared" si="16"/>
        <v>0</v>
      </c>
    </row>
    <row r="128" spans="1:9" s="212" customFormat="1" ht="19.5" customHeight="1" thickBot="1">
      <c r="A128" s="245">
        <f>IF(B128&gt;0,"./. Einkommen Kinder",0)</f>
        <v>0</v>
      </c>
      <c r="B128" s="433">
        <f>SUM(C128:I128)</f>
        <v>0</v>
      </c>
      <c r="C128" s="311"/>
      <c r="D128" s="311"/>
      <c r="E128" s="312">
        <f>E122</f>
        <v>0</v>
      </c>
      <c r="F128" s="312">
        <f>F122</f>
        <v>0</v>
      </c>
      <c r="G128" s="312">
        <f>G122</f>
        <v>0</v>
      </c>
      <c r="H128" s="312">
        <f>H122</f>
        <v>0</v>
      </c>
      <c r="I128" s="313">
        <f>I122</f>
        <v>0</v>
      </c>
    </row>
    <row r="129" spans="1:11" s="212" customFormat="1" ht="17.25" hidden="1" customHeight="1">
      <c r="A129" s="246"/>
      <c r="B129" s="314"/>
      <c r="C129" s="314"/>
      <c r="D129" s="314"/>
      <c r="E129" s="128">
        <f>E127-E128</f>
        <v>0</v>
      </c>
      <c r="F129" s="128">
        <f>F127-F128</f>
        <v>0</v>
      </c>
      <c r="G129" s="128">
        <f>G127-G128</f>
        <v>0</v>
      </c>
      <c r="H129" s="128">
        <f>H127-H128</f>
        <v>0</v>
      </c>
      <c r="I129" s="190">
        <f>I127-I128</f>
        <v>0</v>
      </c>
    </row>
    <row r="130" spans="1:11" ht="17.25" hidden="1" customHeight="1">
      <c r="A130" s="243"/>
      <c r="B130" s="315"/>
      <c r="C130" s="316"/>
      <c r="D130" s="316"/>
      <c r="E130" s="316">
        <f>IF(E129&lt;0,0,E129)</f>
        <v>0</v>
      </c>
      <c r="F130" s="316">
        <f>IF(F129&lt;0,0,F129)</f>
        <v>0</v>
      </c>
      <c r="G130" s="316">
        <f>IF(G129&lt;0,0,G129)</f>
        <v>0</v>
      </c>
      <c r="H130" s="316">
        <f>IF(H129&lt;0,0,H129)</f>
        <v>0</v>
      </c>
      <c r="I130" s="317">
        <f>IF(I129&lt;0,0,I129)</f>
        <v>0</v>
      </c>
    </row>
    <row r="131" spans="1:11" ht="19.5" customHeight="1" thickTop="1">
      <c r="A131" s="230" t="s">
        <v>36</v>
      </c>
      <c r="B131" s="284">
        <f>SUM(C131:I131)</f>
        <v>416</v>
      </c>
      <c r="C131" s="295">
        <f>C127</f>
        <v>416</v>
      </c>
      <c r="D131" s="295">
        <f>D127</f>
        <v>0</v>
      </c>
      <c r="E131" s="295">
        <f>E130</f>
        <v>0</v>
      </c>
      <c r="F131" s="295">
        <f>F130</f>
        <v>0</v>
      </c>
      <c r="G131" s="295">
        <f>G130</f>
        <v>0</v>
      </c>
      <c r="H131" s="295">
        <f>H130</f>
        <v>0</v>
      </c>
      <c r="I131" s="296">
        <f>I130</f>
        <v>0</v>
      </c>
      <c r="K131" s="439"/>
    </row>
    <row r="132" spans="1:11" ht="18" hidden="1" customHeight="1">
      <c r="A132" s="230"/>
      <c r="B132" s="284">
        <f>SUM(C132:I132)</f>
        <v>416</v>
      </c>
      <c r="C132" s="295">
        <f t="shared" ref="C132:I132" si="17">IF(C10="ja",C131,0)</f>
        <v>416</v>
      </c>
      <c r="D132" s="295">
        <f t="shared" si="17"/>
        <v>0</v>
      </c>
      <c r="E132" s="295">
        <f>IF(AND(Zusatzeingaben!E37=0,E10="ja"),E131,0)</f>
        <v>0</v>
      </c>
      <c r="F132" s="295">
        <f t="shared" si="17"/>
        <v>0</v>
      </c>
      <c r="G132" s="295">
        <f t="shared" si="17"/>
        <v>0</v>
      </c>
      <c r="H132" s="295">
        <f t="shared" si="17"/>
        <v>0</v>
      </c>
      <c r="I132" s="296">
        <f t="shared" si="17"/>
        <v>0</v>
      </c>
    </row>
    <row r="133" spans="1:11" ht="17.25" customHeight="1">
      <c r="A133" s="247" t="s">
        <v>37</v>
      </c>
      <c r="B133" s="430">
        <f>SUM(C133:I133)</f>
        <v>1</v>
      </c>
      <c r="C133" s="318">
        <f>IF(AND(B132&gt;0,C10="ja"),C132/B132,0)</f>
        <v>1</v>
      </c>
      <c r="D133" s="318">
        <f t="shared" ref="D133:I133" si="18">IF(AND($B$132&gt;0,D11&gt;0,D10="ja"),D132/$B$132,0)</f>
        <v>0</v>
      </c>
      <c r="E133" s="318">
        <f t="shared" si="18"/>
        <v>0</v>
      </c>
      <c r="F133" s="318">
        <f t="shared" si="18"/>
        <v>0</v>
      </c>
      <c r="G133" s="318">
        <f t="shared" si="18"/>
        <v>0</v>
      </c>
      <c r="H133" s="318">
        <f t="shared" si="18"/>
        <v>0</v>
      </c>
      <c r="I133" s="319">
        <f t="shared" si="18"/>
        <v>0</v>
      </c>
    </row>
    <row r="134" spans="1:11" ht="19.5" hidden="1" customHeight="1">
      <c r="A134" s="244"/>
      <c r="B134" s="284"/>
      <c r="C134" s="318"/>
      <c r="D134" s="318"/>
      <c r="E134" s="62">
        <f>IF(E129&lt;0,E129,0)</f>
        <v>0</v>
      </c>
      <c r="F134" s="62">
        <f>IF(F129&lt;0,F129,0)</f>
        <v>0</v>
      </c>
      <c r="G134" s="62">
        <f>IF(G129&lt;0,G129,0)</f>
        <v>0</v>
      </c>
      <c r="H134" s="62">
        <f>IF(H129&lt;0,H129,0)</f>
        <v>0</v>
      </c>
      <c r="I134" s="110">
        <f>IF(I129&lt;0,I129,0)</f>
        <v>0</v>
      </c>
    </row>
    <row r="135" spans="1:11" hidden="1">
      <c r="A135" s="248"/>
      <c r="B135" s="320"/>
      <c r="C135" s="137"/>
      <c r="D135" s="137"/>
      <c r="E135" s="137">
        <f>IF(E134&lt;-E62,-E62,E134)</f>
        <v>0</v>
      </c>
      <c r="F135" s="137">
        <f>IF(F134&lt;-F62,-F62,F134)</f>
        <v>0</v>
      </c>
      <c r="G135" s="137">
        <f>IF(G134&lt;-G62,-G62,G134)</f>
        <v>0</v>
      </c>
      <c r="H135" s="137">
        <f>IF(H134&lt;-H62,-H62,H134)</f>
        <v>0</v>
      </c>
      <c r="I135" s="175">
        <f>IF(I134&lt;-I62,-I62,I134)</f>
        <v>0</v>
      </c>
    </row>
    <row r="136" spans="1:11" ht="19.5" hidden="1" customHeight="1">
      <c r="A136" s="248"/>
      <c r="B136" s="320"/>
      <c r="C136" s="137"/>
      <c r="D136" s="137"/>
      <c r="E136" s="137">
        <f>-E135*1</f>
        <v>0</v>
      </c>
      <c r="F136" s="137">
        <f>-F135*1</f>
        <v>0</v>
      </c>
      <c r="G136" s="137">
        <f>-G135*1</f>
        <v>0</v>
      </c>
      <c r="H136" s="137">
        <f>-H135*1</f>
        <v>0</v>
      </c>
      <c r="I136" s="175">
        <f>-I135*1</f>
        <v>0</v>
      </c>
    </row>
    <row r="137" spans="1:11" ht="18" customHeight="1">
      <c r="A137" s="249">
        <f>IF(C137&gt;0,"übertragbares Kindergeld",0)</f>
        <v>0</v>
      </c>
      <c r="B137" s="321"/>
      <c r="C137" s="322">
        <f>SUM(E136:I136)</f>
        <v>0</v>
      </c>
      <c r="D137" s="323"/>
      <c r="E137" s="323"/>
      <c r="F137" s="323"/>
      <c r="G137" s="323"/>
      <c r="H137" s="323"/>
      <c r="I137" s="324"/>
    </row>
    <row r="138" spans="1:11" ht="19.5" hidden="1" customHeight="1">
      <c r="A138" s="249"/>
      <c r="B138" s="314"/>
      <c r="C138" s="322">
        <f>IF(AND(C122=0,C137&gt;0),30+Zusatzeingaben!C204+Zusatzeingaben!C205+Zusatzeingaben!C213,0)</f>
        <v>0</v>
      </c>
      <c r="D138" s="322">
        <f>IF(AND(D122=0,D137&gt;0),30+Zusatzeingaben!D204+Zusatzeingaben!D205+Zusatzeingaben!D213,0)</f>
        <v>0</v>
      </c>
      <c r="E138" s="322">
        <f>IF(AND(E122=0,E137&gt;0),30+Zusatzeingaben!E204+Zusatzeingaben!E205+Zusatzeingaben!E213,0)</f>
        <v>0</v>
      </c>
      <c r="F138" s="322">
        <f>IF(AND(F122=0,F137&gt;0),30+Zusatzeingaben!F204+Zusatzeingaben!F205+Zusatzeingaben!F213,0)</f>
        <v>0</v>
      </c>
      <c r="G138" s="322">
        <f>IF(AND(G122=0,G137&gt;0),30+Zusatzeingaben!G204+Zusatzeingaben!G205+Zusatzeingaben!G213,0)</f>
        <v>0</v>
      </c>
      <c r="H138" s="322">
        <f>IF(AND(H122=0,H137&gt;0),30+Zusatzeingaben!H204+Zusatzeingaben!H205+Zusatzeingaben!H213,0)</f>
        <v>0</v>
      </c>
      <c r="I138" s="322">
        <f>IF(AND(I122=0,I137&gt;0),30+Zusatzeingaben!I204+Zusatzeingaben!I205+Zusatzeingaben!I213,0)</f>
        <v>0</v>
      </c>
    </row>
    <row r="139" spans="1:11" ht="19.5" hidden="1" customHeight="1">
      <c r="A139" s="249"/>
      <c r="B139" s="314"/>
      <c r="C139" s="322">
        <f>C137-C138</f>
        <v>0</v>
      </c>
      <c r="D139" s="323"/>
      <c r="E139" s="323"/>
      <c r="F139" s="323"/>
      <c r="G139" s="323"/>
      <c r="H139" s="323"/>
      <c r="I139" s="324"/>
    </row>
    <row r="140" spans="1:11" ht="19.5" hidden="1" customHeight="1">
      <c r="A140" s="249"/>
      <c r="B140" s="314"/>
      <c r="C140" s="322">
        <f>IF(C139&lt;0,0,C139)</f>
        <v>0</v>
      </c>
      <c r="D140" s="323"/>
      <c r="E140" s="323"/>
      <c r="F140" s="323"/>
      <c r="G140" s="323"/>
      <c r="H140" s="323"/>
      <c r="I140" s="324"/>
    </row>
    <row r="141" spans="1:11" ht="17.25" customHeight="1">
      <c r="A141" s="247" t="s">
        <v>22</v>
      </c>
      <c r="B141" s="975">
        <f>C141+D141</f>
        <v>0</v>
      </c>
      <c r="C141" s="62">
        <f>C122+C140</f>
        <v>0</v>
      </c>
      <c r="D141" s="62">
        <f>D122</f>
        <v>0</v>
      </c>
      <c r="E141" s="325"/>
      <c r="F141" s="325"/>
      <c r="G141" s="325"/>
      <c r="H141" s="325"/>
      <c r="I141" s="326"/>
    </row>
    <row r="142" spans="1:11" hidden="1">
      <c r="A142" s="250"/>
      <c r="B142" s="327"/>
      <c r="C142" s="137">
        <f>C127-C141</f>
        <v>416</v>
      </c>
      <c r="D142" s="137">
        <f>D127-D141</f>
        <v>0</v>
      </c>
      <c r="E142" s="327"/>
      <c r="F142" s="327"/>
      <c r="G142" s="327"/>
      <c r="H142" s="327"/>
      <c r="I142" s="328"/>
    </row>
    <row r="143" spans="1:11" hidden="1">
      <c r="A143" s="250"/>
      <c r="B143" s="327"/>
      <c r="C143" s="137">
        <f>-1*C142</f>
        <v>-416</v>
      </c>
      <c r="D143" s="137">
        <f>-1*D142</f>
        <v>0</v>
      </c>
      <c r="E143" s="327"/>
      <c r="F143" s="327"/>
      <c r="G143" s="327"/>
      <c r="H143" s="327"/>
      <c r="I143" s="328"/>
    </row>
    <row r="144" spans="1:11" hidden="1">
      <c r="A144" s="250"/>
      <c r="B144" s="327"/>
      <c r="C144" s="137">
        <f>IF(C143&gt;0,C143,0)</f>
        <v>0</v>
      </c>
      <c r="D144" s="137">
        <f>IF(D143&gt;0,D143,0)</f>
        <v>0</v>
      </c>
      <c r="E144" s="137"/>
      <c r="F144" s="137"/>
      <c r="G144" s="137"/>
      <c r="H144" s="137"/>
      <c r="I144" s="175"/>
    </row>
    <row r="145" spans="1:12">
      <c r="A145" s="247">
        <f>IF(B145&gt;0,"./. nicht verteilbares Einkommen",0)</f>
        <v>0</v>
      </c>
      <c r="B145" s="284">
        <f>C145+D145</f>
        <v>0</v>
      </c>
      <c r="C145" s="62">
        <f>IF(AND($B$7&gt;2,D133&gt;0,C133=0,SUM(D131:$I$131)&lt;D141),C141,IF(OR(C10="nur Mehrbedarf",C10="nein"),C141-C146,0))</f>
        <v>0</v>
      </c>
      <c r="D145" s="62">
        <f>IF(AND($B$7&gt;2,C133&gt;0,D133=0,C131+SUM($E$131:$I$131)&lt;C141),D141,IF(OR(D10="nur Mehrbedarf",D10="nein"),D141-D146,0))</f>
        <v>0</v>
      </c>
      <c r="E145" s="62"/>
      <c r="F145" s="62"/>
      <c r="G145" s="62"/>
      <c r="H145" s="62"/>
      <c r="I145" s="110"/>
    </row>
    <row r="146" spans="1:12" ht="17.25" customHeight="1">
      <c r="A146" s="230" t="s">
        <v>38</v>
      </c>
      <c r="B146" s="430">
        <f>C146+D146</f>
        <v>0</v>
      </c>
      <c r="C146" s="62">
        <f>IF(AND($B$7&gt;2,D133&gt;0,C133=0,SUM(D131:$I$131)&lt;D141),0,IF(AND(C10="nur Mehrbedarf",C141&lt;C131+C150),0,IF(AND(C10="nur Mehrbedarf",C144&gt;C150),C144-C150,IF(AND(C10="nein",C144&gt;0),C144,IF(AND(C10="nur Mehrbedarf",C144=0),0,IF(AND(C10="nein",C144=0),0,C141))))))</f>
        <v>0</v>
      </c>
      <c r="D146" s="62">
        <f>IF(AND($B$7&gt;2,C133&gt;0,D133=0,C131+SUM($E$131:$I$131)&lt;C141),0,IF(AND(D10="nur Mehrbedarf",D141&lt;D131+D150),0,IF(AND(D10="nur Mehrbedarf",D144&gt;D150),D144-D150,IF(AND(D10="nein",D144&gt;0),D144,IF(AND(D10="nur Mehrbedarf",D144=0),0,IF(AND(D10="nein",D144=0),0,D141))))))</f>
        <v>0</v>
      </c>
      <c r="E146" s="306"/>
      <c r="F146" s="306"/>
      <c r="G146" s="306"/>
      <c r="H146" s="306"/>
      <c r="I146" s="434"/>
    </row>
    <row r="147" spans="1:12" ht="17.25" hidden="1" customHeight="1">
      <c r="A147" s="435"/>
      <c r="B147" s="298">
        <f t="shared" ref="B147:B151" si="19">SUM(C147:I147)</f>
        <v>0</v>
      </c>
      <c r="C147" s="62">
        <f>IF(AND($B$133=0,D131=0),C146,IF(AND($B$133=0,D146&gt;0,C131&gt;0),D146,IF(AND($B$7&gt;2,C133=0,D133=0,D146+C145&lt;C131),D146,IF(AND($B$7&gt;2,C133=0,D133=0,D146+C145&gt;C131),C131+D131-B145,IF(AND($B$7=2,C133&gt;0,D10="nur Mehrbedarf",D150+D131&gt;D141,C141&gt;C131),C131,$B$146*C133)))))</f>
        <v>0</v>
      </c>
      <c r="D147" s="62">
        <f>IF(AND($B$133=0,C131=0),D146,IF(AND($B$133=0,C146&gt;0,D131&gt;0),C146,IF(AND($B$7&gt;2,D131&gt;0,D133=0,C133=0,C146+D145&lt;D131),C146,IF(AND(B7&gt;2,D131&gt;0,C133=0,D133=0,C146+D145&gt;D131),C131+D131-B145,IF(AND($B$7=2,C10="nur Mehrbedarf",D133&gt;0,C150+C131&gt;C141,D141&gt;D131),D131,$B$146*D133)))))</f>
        <v>0</v>
      </c>
      <c r="E147" s="62">
        <f>IF(AND($C$150&gt;0,$C$146=0,$B$146*E133&gt;E131,$D$146&lt;$D$131+SUM($E$131:$I$131)),E131,IF(AND($D$150&gt;0,$D$146=0,$B$146*E133&gt;E131,$C$146&lt;$C$131+SUM($E$131:$I$131)),E131,IF(AND($B$7&gt;2,$C$133=0,$D$133=0,$C$131+$D$131&gt;$B$141),0,IF(AND($B$7&gt;2,E131&gt;0,$C$133=0,$D$133=0,$C$131+$D$131&lt;$B$141),($B$141-($C$131+$D$131))*E133,$B$146*E133))))</f>
        <v>0</v>
      </c>
      <c r="F147" s="62">
        <f t="shared" ref="F147:I147" si="20">IF(AND($C$150&gt;0,$C$146=0,$B$146*F133&gt;F131,$D$146&lt;$D$131+SUM($E$131:$I$131)),F131,IF(AND($D$150&gt;0,$D$146=0,$B$146*F133&gt;F131,$C$146&lt;$C$131+SUM($E$131:$I$131)),F131,IF(AND($B$7&gt;2,$C$133=0,$D$133=0,$C$131+$D$131&gt;$B$141),0,IF(AND($B$7&gt;2,F131&gt;0,$C$133=0,$D$133=0,$C$131+$D$131&lt;$B$141),($B$141-($C$131+$D$131))*F133,$B$146*F133))))</f>
        <v>0</v>
      </c>
      <c r="G147" s="62">
        <f t="shared" si="20"/>
        <v>0</v>
      </c>
      <c r="H147" s="62">
        <f t="shared" si="20"/>
        <v>0</v>
      </c>
      <c r="I147" s="62">
        <f t="shared" si="20"/>
        <v>0</v>
      </c>
    </row>
    <row r="148" spans="1:12" ht="18.75" customHeight="1" thickBot="1">
      <c r="A148" s="245" t="s">
        <v>40</v>
      </c>
      <c r="B148" s="285">
        <f t="shared" si="19"/>
        <v>0</v>
      </c>
      <c r="C148" s="438">
        <f>IF(C147&lt;0,0,IF(AND(C150&gt;0,D146&gt;0,D146&lt;&gt;C147,C146&gt;0,C145&lt;C131+C150),C146+C147,IF(AND(D133&gt;0,C133=0,D146&gt;D147+E147+F147+G147+H147+I147),D146-D147-E147-F147-G147-H147-I147,IF(AND($B$7=2,$B$133=0,C146&gt;0,D146&gt;0),C146,IF(AND($B$7&gt;2,C133+D133=0,C146&gt;0,D146&gt;0),($B$146-E147-F147-G147-H147-I147)*C131/(C131+D131),C147)))))</f>
        <v>0</v>
      </c>
      <c r="D148" s="438">
        <f>IF(D147&lt;0,0,IF(AND(D150&gt;0,C146&gt;0,C146&lt;&gt;D147,D146&gt;0,D145&lt;D131+D150),D146+D147,IF(AND(C133&gt;0,D133=0,C146&gt;C147+E147+F147+G147+H147+I147),C146-C147-E147-F147-G147-H147-I147,IF(AND($B$7=2,$B$133=0,C146&gt;0,D146&gt;0),D146,IF(AND($B$7&gt;2,C133+D133=0,C146&gt;0,D146&gt;0),($B$146-E147-F147-G147-H147-I147)*D131/(C131+D131),D147)))))</f>
        <v>0</v>
      </c>
      <c r="E148" s="436">
        <f>IF(AND($C$147=0,$D$147=0,$B$147&lt;$B$146),$B$146*E133,E147)</f>
        <v>0</v>
      </c>
      <c r="F148" s="436">
        <f>IF(AND($C$147=0,$D$147=0,$B$147&lt;$B$146),$B$146*F133,F147)</f>
        <v>0</v>
      </c>
      <c r="G148" s="436">
        <f>IF(AND($C$147=0,$D$147=0,$B$147&lt;$B$146),$B$146*G133,G147)</f>
        <v>0</v>
      </c>
      <c r="H148" s="436">
        <f>IF(AND($C$147=0,$D$147=0,$B$147&lt;$B$146),$B$146*H133,H147)</f>
        <v>0</v>
      </c>
      <c r="I148" s="437">
        <f>IF(AND($C$147=0,$D$147=0,$B$147&lt;$B$146),$B$146*I133,I147)</f>
        <v>0</v>
      </c>
    </row>
    <row r="149" spans="1:12" ht="19.5" customHeight="1" thickTop="1">
      <c r="A149" s="251" t="s">
        <v>125</v>
      </c>
      <c r="B149" s="297">
        <f t="shared" si="19"/>
        <v>416</v>
      </c>
      <c r="C149" s="297">
        <f>C131-C145-C148</f>
        <v>416</v>
      </c>
      <c r="D149" s="297">
        <f>D131-D145-D148</f>
        <v>0</v>
      </c>
      <c r="E149" s="297">
        <f>E131-E148</f>
        <v>0</v>
      </c>
      <c r="F149" s="297">
        <f>F131-F148</f>
        <v>0</v>
      </c>
      <c r="G149" s="297">
        <f>G131-G148</f>
        <v>0</v>
      </c>
      <c r="H149" s="297">
        <f>H131-H148</f>
        <v>0</v>
      </c>
      <c r="I149" s="329">
        <f>I131-I148</f>
        <v>0</v>
      </c>
    </row>
    <row r="150" spans="1:12" ht="18" customHeight="1">
      <c r="A150" s="247">
        <f>IF(B150&gt;0,"Mehrbedarf nach § 27 (2) SGB II",0)</f>
        <v>0</v>
      </c>
      <c r="B150" s="440">
        <f t="shared" si="19"/>
        <v>0</v>
      </c>
      <c r="C150" s="295">
        <f>IF(C10="nur Mehrbedarf",Zusatzeingaben!C45+Zusatzeingaben!B46+Zusatzeingaben!C93+Zusatzeingaben!C94,0)</f>
        <v>0</v>
      </c>
      <c r="D150" s="295">
        <f>IF(D10="nur Mehrbedarf",Zusatzeingaben!D45+Zusatzeingaben!D93+Zusatzeingaben!D94,0)</f>
        <v>0</v>
      </c>
      <c r="E150" s="62"/>
      <c r="F150" s="62"/>
      <c r="G150" s="62"/>
      <c r="H150" s="62"/>
      <c r="I150" s="110"/>
    </row>
    <row r="151" spans="1:12" ht="17.25" customHeight="1">
      <c r="A151" s="721">
        <f>IF(B151&gt;0,"./. Überschuss",0)</f>
        <v>0</v>
      </c>
      <c r="B151" s="430">
        <f t="shared" si="19"/>
        <v>0</v>
      </c>
      <c r="C151" s="62">
        <f>IF(AND(C10="nur Mehrbedarf",$B$149&lt;0,D149&lt;0),$B$149*-1,IF(AND(C10="nur Mehrbedarf",$B$149&lt;0,$E$149&lt;0),$B$149*-1,IF(AND(C10="nur Mehrbedarf",D149&gt;=0,C149&lt;0),C149*-1,0)))</f>
        <v>0</v>
      </c>
      <c r="D151" s="62">
        <f>IF(AND(D10="nur Mehrbedarf",$B$149&lt;0,C149&lt;0),$B$149*-1,IF(AND(D10="nur Mehrbedarf",$B$149&lt;0,$E$149&lt;0),$B$149*-1,IF(AND(D10="nur Mehrbedarf",C149&gt;=0,D149&lt;0),D149*-1,0)))</f>
        <v>0</v>
      </c>
      <c r="E151" s="62"/>
      <c r="F151" s="62"/>
      <c r="G151" s="62"/>
      <c r="H151" s="62"/>
      <c r="I151" s="110"/>
    </row>
    <row r="152" spans="1:12" ht="17.25" hidden="1" customHeight="1">
      <c r="A152" s="722"/>
      <c r="B152" s="720"/>
      <c r="C152" s="668">
        <f>C149-C157</f>
        <v>416</v>
      </c>
      <c r="D152" s="668">
        <f t="shared" ref="D152:I152" si="21">D149-D157</f>
        <v>0</v>
      </c>
      <c r="E152" s="668">
        <f t="shared" si="21"/>
        <v>0</v>
      </c>
      <c r="F152" s="668">
        <f t="shared" si="21"/>
        <v>0</v>
      </c>
      <c r="G152" s="668">
        <f t="shared" si="21"/>
        <v>0</v>
      </c>
      <c r="H152" s="668">
        <f t="shared" si="21"/>
        <v>0</v>
      </c>
      <c r="I152" s="669">
        <f t="shared" si="21"/>
        <v>0</v>
      </c>
    </row>
    <row r="153" spans="1:12" ht="17.25" hidden="1" customHeight="1">
      <c r="A153" s="224"/>
      <c r="B153" s="62"/>
      <c r="C153" s="668">
        <f>IF(Zusatzeingaben!C221="einmal",C11*10%,IF(Zusatzeingaben!C221="zweimal",C11*20%,IF(Zusatzeingaben!C221="dreimal",C11*30%,0)))</f>
        <v>0</v>
      </c>
      <c r="D153" s="668">
        <f>IF(Zusatzeingaben!D221="einmal",D11*10%,IF(Zusatzeingaben!D221="zweimal",D11*20%,IF(Zusatzeingaben!D221="dreimal",D11*30%,0)))</f>
        <v>0</v>
      </c>
      <c r="E153" s="668">
        <f>IF(Zusatzeingaben!E221="einmal",E11*10%,IF(Zusatzeingaben!E221="zweimal",E11*20%,IF(Zusatzeingaben!E221="dreimal",E11*30%,0)))</f>
        <v>0</v>
      </c>
      <c r="F153" s="668">
        <f>IF(Zusatzeingaben!F221="einmal",F11*10%,IF(Zusatzeingaben!F221="zweimal",F11*20%,IF(Zusatzeingaben!F221="dreimal",F11*30%,0)))</f>
        <v>0</v>
      </c>
      <c r="G153" s="668">
        <f>IF(Zusatzeingaben!G221="einmal",G11*10%,IF(Zusatzeingaben!G221="zweimal",G11*20%,IF(Zusatzeingaben!G221="dreimal",G11*30%,0)))</f>
        <v>0</v>
      </c>
      <c r="H153" s="668">
        <f>IF(Zusatzeingaben!H221="einmal",H11*10%,IF(Zusatzeingaben!H221="zweimal",H11*20%,IF(Zusatzeingaben!H221="dreimal",H11*30%,0)))</f>
        <v>0</v>
      </c>
      <c r="I153" s="669">
        <f>IF(Zusatzeingaben!I221="einmal",I11*10%,IF(Zusatzeingaben!I221="zweimal",I11*20%,IF(Zusatzeingaben!I221="dreimal",I11*30%,0)))</f>
        <v>0</v>
      </c>
    </row>
    <row r="154" spans="1:12" ht="17.25" hidden="1" customHeight="1">
      <c r="A154" s="722"/>
      <c r="B154" s="62"/>
      <c r="C154" s="62">
        <f t="shared" ref="C154:I154" si="22">IF(C152&gt;C149,C149,C152)</f>
        <v>416</v>
      </c>
      <c r="D154" s="62">
        <f t="shared" si="22"/>
        <v>0</v>
      </c>
      <c r="E154" s="62">
        <f t="shared" si="22"/>
        <v>0</v>
      </c>
      <c r="F154" s="62">
        <f t="shared" si="22"/>
        <v>0</v>
      </c>
      <c r="G154" s="62">
        <f t="shared" si="22"/>
        <v>0</v>
      </c>
      <c r="H154" s="62">
        <f t="shared" si="22"/>
        <v>0</v>
      </c>
      <c r="I154" s="110">
        <f t="shared" si="22"/>
        <v>0</v>
      </c>
    </row>
    <row r="155" spans="1:12" ht="17.25" customHeight="1">
      <c r="A155" s="721">
        <f>IF(B155&gt;0,"./. Minderung Meldeversäumnis",0)</f>
        <v>0</v>
      </c>
      <c r="B155" s="284">
        <f>SUM(C155:I155)</f>
        <v>0</v>
      </c>
      <c r="C155" s="62">
        <f>IF(OR(C149&lt;0,C153=0),0,MIN(C154,C153))</f>
        <v>0</v>
      </c>
      <c r="D155" s="62">
        <f t="shared" ref="D155:I155" si="23">IF(OR(D149&lt;0,D153=0),0,MIN(D154,D153))</f>
        <v>0</v>
      </c>
      <c r="E155" s="62">
        <f t="shared" si="23"/>
        <v>0</v>
      </c>
      <c r="F155" s="62">
        <f t="shared" si="23"/>
        <v>0</v>
      </c>
      <c r="G155" s="62">
        <f t="shared" si="23"/>
        <v>0</v>
      </c>
      <c r="H155" s="62">
        <f t="shared" si="23"/>
        <v>0</v>
      </c>
      <c r="I155" s="110">
        <f t="shared" si="23"/>
        <v>0</v>
      </c>
    </row>
    <row r="156" spans="1:12" ht="17.25" hidden="1" customHeight="1">
      <c r="A156" s="411"/>
      <c r="B156" s="719"/>
      <c r="C156" s="132">
        <f>Zusatzeingaben!C225</f>
        <v>0</v>
      </c>
      <c r="D156" s="132">
        <f>Zusatzeingaben!D225</f>
        <v>0</v>
      </c>
      <c r="E156" s="132">
        <f>Zusatzeingaben!E225</f>
        <v>0</v>
      </c>
      <c r="F156" s="132">
        <f>Zusatzeingaben!F225</f>
        <v>0</v>
      </c>
      <c r="G156" s="132">
        <f>Zusatzeingaben!G225</f>
        <v>0</v>
      </c>
      <c r="H156" s="132">
        <f>Zusatzeingaben!H225</f>
        <v>0</v>
      </c>
      <c r="I156" s="133">
        <f>Zusatzeingaben!I225</f>
        <v>0</v>
      </c>
    </row>
    <row r="157" spans="1:12" ht="17.25" hidden="1" customHeight="1">
      <c r="A157" s="408"/>
      <c r="B157" s="429"/>
      <c r="C157" s="668">
        <f t="shared" ref="C157:I157" si="24">IF(C156&gt;C149,C149,C156)</f>
        <v>0</v>
      </c>
      <c r="D157" s="668">
        <f t="shared" si="24"/>
        <v>0</v>
      </c>
      <c r="E157" s="668">
        <f t="shared" si="24"/>
        <v>0</v>
      </c>
      <c r="F157" s="668">
        <f t="shared" si="24"/>
        <v>0</v>
      </c>
      <c r="G157" s="668">
        <f t="shared" si="24"/>
        <v>0</v>
      </c>
      <c r="H157" s="668">
        <f t="shared" si="24"/>
        <v>0</v>
      </c>
      <c r="I157" s="669">
        <f t="shared" si="24"/>
        <v>0</v>
      </c>
    </row>
    <row r="158" spans="1:12" ht="18" customHeight="1" thickBot="1">
      <c r="A158" s="670">
        <f>IF(B158&gt;0,"./. Minderung Pflichtverletzung",0)</f>
        <v>0</v>
      </c>
      <c r="B158" s="671">
        <f>SUM(C158:I158)</f>
        <v>0</v>
      </c>
      <c r="C158" s="672">
        <f>IF(C157&lt;0,0,C157)</f>
        <v>0</v>
      </c>
      <c r="D158" s="286">
        <f t="shared" ref="D158:I158" si="25">IF(D157&lt;0,0,D157)</f>
        <v>0</v>
      </c>
      <c r="E158" s="286">
        <f t="shared" si="25"/>
        <v>0</v>
      </c>
      <c r="F158" s="286">
        <f t="shared" si="25"/>
        <v>0</v>
      </c>
      <c r="G158" s="286">
        <f t="shared" si="25"/>
        <v>0</v>
      </c>
      <c r="H158" s="286">
        <f t="shared" si="25"/>
        <v>0</v>
      </c>
      <c r="I158" s="287">
        <f t="shared" si="25"/>
        <v>0</v>
      </c>
    </row>
    <row r="159" spans="1:12" s="212" customFormat="1" ht="16.5" hidden="1" customHeight="1">
      <c r="A159" s="253"/>
      <c r="B159" s="213"/>
      <c r="C159" s="214">
        <f>IF(C10="nur Mehrbedarf",C150-C151,0)</f>
        <v>0</v>
      </c>
      <c r="D159" s="214">
        <f>IF(D10="nur Mehrbedarf",D150-D151,0)</f>
        <v>0</v>
      </c>
      <c r="E159" s="214"/>
      <c r="F159" s="214"/>
      <c r="G159" s="214"/>
      <c r="H159" s="214"/>
      <c r="I159" s="254"/>
      <c r="K159" s="424"/>
      <c r="L159" s="424"/>
    </row>
    <row r="160" spans="1:12" ht="17.25" hidden="1" customHeight="1">
      <c r="A160" s="431"/>
      <c r="B160" s="429">
        <f>SUM(C160:I160)</f>
        <v>416</v>
      </c>
      <c r="C160" s="429">
        <f>IF(C10="nur Mehrbedarf",C159,C149-C155-C158)</f>
        <v>416</v>
      </c>
      <c r="D160" s="429">
        <f t="shared" ref="D160:I160" si="26">IF(D10="nur Mehrbedarf",D159,D149-D155-D158)</f>
        <v>0</v>
      </c>
      <c r="E160" s="429">
        <f t="shared" si="26"/>
        <v>0</v>
      </c>
      <c r="F160" s="429">
        <f t="shared" si="26"/>
        <v>0</v>
      </c>
      <c r="G160" s="429">
        <f t="shared" si="26"/>
        <v>0</v>
      </c>
      <c r="H160" s="429">
        <f t="shared" si="26"/>
        <v>0</v>
      </c>
      <c r="I160" s="429">
        <f t="shared" si="26"/>
        <v>0</v>
      </c>
    </row>
    <row r="161" spans="1:9" ht="24" customHeight="1" thickTop="1" thickBot="1">
      <c r="A161" s="332" t="s">
        <v>27</v>
      </c>
      <c r="B161" s="427">
        <f>SUM(C161:I161)</f>
        <v>416</v>
      </c>
      <c r="C161" s="427">
        <f t="shared" ref="C161:I161" si="27">IF(C10="nein",0,IF(C160&lt;0,0,C160))</f>
        <v>416</v>
      </c>
      <c r="D161" s="427">
        <f t="shared" si="27"/>
        <v>0</v>
      </c>
      <c r="E161" s="427">
        <f t="shared" si="27"/>
        <v>0</v>
      </c>
      <c r="F161" s="427">
        <f t="shared" si="27"/>
        <v>0</v>
      </c>
      <c r="G161" s="427">
        <f t="shared" si="27"/>
        <v>0</v>
      </c>
      <c r="H161" s="427">
        <f t="shared" si="27"/>
        <v>0</v>
      </c>
      <c r="I161" s="428">
        <f t="shared" si="27"/>
        <v>0</v>
      </c>
    </row>
    <row r="162" spans="1:9" ht="15" customHeight="1">
      <c r="A162" s="647" t="s">
        <v>299</v>
      </c>
    </row>
    <row r="163" spans="1:9" ht="14.25" hidden="1" customHeight="1"/>
    <row r="164" spans="1:9" ht="20.25">
      <c r="A164" s="335"/>
      <c r="B164" s="330"/>
      <c r="C164" s="331"/>
      <c r="D164" s="331"/>
      <c r="E164" s="331"/>
      <c r="F164" s="331"/>
      <c r="G164" s="331"/>
      <c r="H164" s="331"/>
      <c r="I164" s="331"/>
    </row>
    <row r="165" spans="1:9" ht="21" customHeight="1" thickBot="1">
      <c r="A165" s="336"/>
      <c r="B165" s="337"/>
      <c r="C165" s="337"/>
      <c r="D165" s="337"/>
      <c r="E165" s="337"/>
      <c r="F165" s="337"/>
      <c r="G165" s="337"/>
      <c r="H165" s="337"/>
      <c r="I165" s="337"/>
    </row>
    <row r="166" spans="1:9" ht="21" customHeight="1">
      <c r="A166" s="444" t="s">
        <v>130</v>
      </c>
      <c r="B166" s="236"/>
      <c r="C166" s="445"/>
      <c r="D166" s="445"/>
      <c r="E166" s="445"/>
      <c r="F166" s="445"/>
      <c r="G166" s="445"/>
      <c r="H166" s="445"/>
      <c r="I166" s="446"/>
    </row>
    <row r="167" spans="1:9" ht="18.75" customHeight="1">
      <c r="A167" s="224"/>
      <c r="B167" s="341" t="s">
        <v>1</v>
      </c>
      <c r="C167" s="341" t="str">
        <f>Zusatzeingaben!C4</f>
        <v>Antragsteller</v>
      </c>
      <c r="D167" s="341" t="str">
        <f>Zusatzeingaben!D4</f>
        <v>Partner(in)</v>
      </c>
      <c r="E167" s="341" t="str">
        <f>Zusatzeingaben!E4</f>
        <v>Kind 1</v>
      </c>
      <c r="F167" s="341" t="str">
        <f>Zusatzeingaben!F4</f>
        <v>Kind 2</v>
      </c>
      <c r="G167" s="341" t="str">
        <f>Zusatzeingaben!G4</f>
        <v>Kind 3</v>
      </c>
      <c r="H167" s="341" t="str">
        <f>Zusatzeingaben!H4</f>
        <v>Kind 4</v>
      </c>
      <c r="I167" s="342" t="str">
        <f>Zusatzeingaben!I4</f>
        <v>Kind 5</v>
      </c>
    </row>
    <row r="168" spans="1:9" ht="18.75" hidden="1" customHeight="1">
      <c r="A168" s="224"/>
      <c r="B168" s="447"/>
      <c r="C168" s="448">
        <f t="shared" ref="C168:I168" si="28">IF(C10="ja",C11+C13+C14+C15+C16+C17+C18+C19,0)</f>
        <v>416</v>
      </c>
      <c r="D168" s="448">
        <f t="shared" si="28"/>
        <v>0</v>
      </c>
      <c r="E168" s="448">
        <f t="shared" si="28"/>
        <v>0</v>
      </c>
      <c r="F168" s="448">
        <f t="shared" si="28"/>
        <v>0</v>
      </c>
      <c r="G168" s="448">
        <f t="shared" si="28"/>
        <v>0</v>
      </c>
      <c r="H168" s="448">
        <f t="shared" si="28"/>
        <v>0</v>
      </c>
      <c r="I168" s="449">
        <f t="shared" si="28"/>
        <v>0</v>
      </c>
    </row>
    <row r="169" spans="1:9" ht="18.75" customHeight="1">
      <c r="A169" s="224" t="s">
        <v>131</v>
      </c>
      <c r="B169" s="284">
        <f>SUM(C169:I169)</f>
        <v>416</v>
      </c>
      <c r="C169" s="295">
        <f t="shared" ref="C169:I169" si="29">IF(C10="ja",C11+C13+C14+C15+C16+C17+C18+C19+C49,IF(C10="nur Mehrbedarf",C161,0))</f>
        <v>416</v>
      </c>
      <c r="D169" s="295">
        <f t="shared" si="29"/>
        <v>0</v>
      </c>
      <c r="E169" s="295">
        <f t="shared" si="29"/>
        <v>0</v>
      </c>
      <c r="F169" s="295">
        <f t="shared" si="29"/>
        <v>0</v>
      </c>
      <c r="G169" s="295">
        <f t="shared" si="29"/>
        <v>0</v>
      </c>
      <c r="H169" s="295">
        <f t="shared" si="29"/>
        <v>0</v>
      </c>
      <c r="I169" s="296">
        <f t="shared" si="29"/>
        <v>0</v>
      </c>
    </row>
    <row r="170" spans="1:9" ht="18.75" customHeight="1">
      <c r="A170" s="450" t="s">
        <v>132</v>
      </c>
      <c r="B170" s="284">
        <f>SUM(C170:I170)</f>
        <v>0</v>
      </c>
      <c r="C170" s="295">
        <f>C155+C158</f>
        <v>0</v>
      </c>
      <c r="D170" s="295">
        <f t="shared" ref="D170:I170" si="30">D155+D158</f>
        <v>0</v>
      </c>
      <c r="E170" s="295">
        <f t="shared" si="30"/>
        <v>0</v>
      </c>
      <c r="F170" s="295">
        <f t="shared" si="30"/>
        <v>0</v>
      </c>
      <c r="G170" s="295">
        <f t="shared" si="30"/>
        <v>0</v>
      </c>
      <c r="H170" s="295">
        <f t="shared" si="30"/>
        <v>0</v>
      </c>
      <c r="I170" s="296">
        <f t="shared" si="30"/>
        <v>0</v>
      </c>
    </row>
    <row r="171" spans="1:9" ht="19.5" customHeight="1" thickBot="1">
      <c r="A171" s="451" t="s">
        <v>133</v>
      </c>
      <c r="B171" s="285">
        <f>SUM(C171:I171)</f>
        <v>0</v>
      </c>
      <c r="C171" s="312">
        <f>IF(C169=0,0,C148)</f>
        <v>0</v>
      </c>
      <c r="D171" s="312">
        <f>IF(D169=0,0,D148)</f>
        <v>0</v>
      </c>
      <c r="E171" s="312">
        <f>IF(E169=0,0,E128+E148)</f>
        <v>0</v>
      </c>
      <c r="F171" s="312">
        <f>IF(F169=0,0,F128+F148)</f>
        <v>0</v>
      </c>
      <c r="G171" s="312">
        <f>IF(G169=0,0,G128+G148)</f>
        <v>0</v>
      </c>
      <c r="H171" s="312">
        <f>IF(H169=0,0,H128+H148)</f>
        <v>0</v>
      </c>
      <c r="I171" s="313">
        <f>IF(I169=0,0,I128+I148)</f>
        <v>0</v>
      </c>
    </row>
    <row r="172" spans="1:9" ht="21" hidden="1" customHeight="1">
      <c r="A172" s="243"/>
      <c r="B172" s="137"/>
      <c r="C172" s="452">
        <f t="shared" ref="C172:I172" si="31">IF(C168=0,0,C148)</f>
        <v>0</v>
      </c>
      <c r="D172" s="452">
        <f t="shared" si="31"/>
        <v>0</v>
      </c>
      <c r="E172" s="452">
        <f t="shared" si="31"/>
        <v>0</v>
      </c>
      <c r="F172" s="452">
        <f t="shared" si="31"/>
        <v>0</v>
      </c>
      <c r="G172" s="452">
        <f t="shared" si="31"/>
        <v>0</v>
      </c>
      <c r="H172" s="452">
        <f t="shared" si="31"/>
        <v>0</v>
      </c>
      <c r="I172" s="453">
        <f t="shared" si="31"/>
        <v>0</v>
      </c>
    </row>
    <row r="173" spans="1:9" ht="21" hidden="1" customHeight="1">
      <c r="A173" s="243"/>
      <c r="B173" s="137"/>
      <c r="C173" s="137">
        <f>C169-C170-C171</f>
        <v>416</v>
      </c>
      <c r="D173" s="137">
        <f t="shared" ref="D173:I173" si="32">D169-D170-D171</f>
        <v>0</v>
      </c>
      <c r="E173" s="137">
        <f t="shared" si="32"/>
        <v>0</v>
      </c>
      <c r="F173" s="137">
        <f t="shared" si="32"/>
        <v>0</v>
      </c>
      <c r="G173" s="137">
        <f t="shared" si="32"/>
        <v>0</v>
      </c>
      <c r="H173" s="137">
        <f t="shared" si="32"/>
        <v>0</v>
      </c>
      <c r="I173" s="175">
        <f t="shared" si="32"/>
        <v>0</v>
      </c>
    </row>
    <row r="174" spans="1:9" ht="21" hidden="1" customHeight="1">
      <c r="A174" s="243"/>
      <c r="B174" s="137"/>
      <c r="C174" s="454">
        <f>C168-C172</f>
        <v>416</v>
      </c>
      <c r="D174" s="454">
        <f t="shared" ref="D174:I174" si="33">D168-D171</f>
        <v>0</v>
      </c>
      <c r="E174" s="454">
        <f t="shared" si="33"/>
        <v>0</v>
      </c>
      <c r="F174" s="454">
        <f t="shared" si="33"/>
        <v>0</v>
      </c>
      <c r="G174" s="454">
        <f t="shared" si="33"/>
        <v>0</v>
      </c>
      <c r="H174" s="454">
        <f t="shared" si="33"/>
        <v>0</v>
      </c>
      <c r="I174" s="455">
        <f t="shared" si="33"/>
        <v>0</v>
      </c>
    </row>
    <row r="175" spans="1:9" ht="21" customHeight="1" thickTop="1" thickBot="1">
      <c r="A175" s="456" t="s">
        <v>134</v>
      </c>
      <c r="B175" s="457">
        <f>SUM(C175:I175)</f>
        <v>416</v>
      </c>
      <c r="C175" s="457">
        <f t="shared" ref="C175:I176" si="34">IF(C173&lt;0,0,C173)</f>
        <v>416</v>
      </c>
      <c r="D175" s="457">
        <f t="shared" si="34"/>
        <v>0</v>
      </c>
      <c r="E175" s="457">
        <f t="shared" si="34"/>
        <v>0</v>
      </c>
      <c r="F175" s="457">
        <f t="shared" si="34"/>
        <v>0</v>
      </c>
      <c r="G175" s="457">
        <f t="shared" si="34"/>
        <v>0</v>
      </c>
      <c r="H175" s="457">
        <f t="shared" si="34"/>
        <v>0</v>
      </c>
      <c r="I175" s="458">
        <f t="shared" si="34"/>
        <v>0</v>
      </c>
    </row>
    <row r="176" spans="1:9" ht="21" hidden="1" customHeight="1">
      <c r="A176" s="459"/>
      <c r="B176" s="337"/>
      <c r="C176" s="460">
        <f t="shared" si="34"/>
        <v>416</v>
      </c>
      <c r="D176" s="460">
        <f t="shared" si="34"/>
        <v>0</v>
      </c>
      <c r="E176" s="460">
        <f t="shared" si="34"/>
        <v>0</v>
      </c>
      <c r="F176" s="460">
        <f t="shared" si="34"/>
        <v>0</v>
      </c>
      <c r="G176" s="460">
        <f t="shared" si="34"/>
        <v>0</v>
      </c>
      <c r="H176" s="460">
        <f t="shared" si="34"/>
        <v>0</v>
      </c>
      <c r="I176" s="461">
        <f t="shared" si="34"/>
        <v>0</v>
      </c>
    </row>
    <row r="177" spans="1:9" ht="21" customHeight="1" thickBot="1">
      <c r="A177" s="462" t="s">
        <v>154</v>
      </c>
      <c r="B177" s="463"/>
      <c r="C177" s="464">
        <f t="shared" ref="C177:I178" si="35">IF(C173&lt;0,C173,0)*-1</f>
        <v>0</v>
      </c>
      <c r="D177" s="464">
        <f t="shared" si="35"/>
        <v>0</v>
      </c>
      <c r="E177" s="464">
        <f t="shared" si="35"/>
        <v>0</v>
      </c>
      <c r="F177" s="464">
        <f t="shared" si="35"/>
        <v>0</v>
      </c>
      <c r="G177" s="464">
        <f t="shared" si="35"/>
        <v>0</v>
      </c>
      <c r="H177" s="464">
        <f t="shared" si="35"/>
        <v>0</v>
      </c>
      <c r="I177" s="465">
        <f t="shared" si="35"/>
        <v>0</v>
      </c>
    </row>
    <row r="178" spans="1:9" ht="21" hidden="1" customHeight="1">
      <c r="A178" s="243"/>
      <c r="B178" s="320"/>
      <c r="C178" s="466">
        <f t="shared" si="35"/>
        <v>0</v>
      </c>
      <c r="D178" s="466">
        <f t="shared" si="35"/>
        <v>0</v>
      </c>
      <c r="E178" s="466">
        <f t="shared" si="35"/>
        <v>0</v>
      </c>
      <c r="F178" s="466">
        <f t="shared" si="35"/>
        <v>0</v>
      </c>
      <c r="G178" s="466">
        <f t="shared" si="35"/>
        <v>0</v>
      </c>
      <c r="H178" s="466">
        <f t="shared" si="35"/>
        <v>0</v>
      </c>
      <c r="I178" s="467">
        <f t="shared" si="35"/>
        <v>0</v>
      </c>
    </row>
    <row r="179" spans="1:9" ht="21" customHeight="1">
      <c r="A179" s="468" t="s">
        <v>135</v>
      </c>
      <c r="B179" s="297">
        <f>SUM(C179:I179)</f>
        <v>0</v>
      </c>
      <c r="C179" s="469">
        <f t="shared" ref="C179:I179" si="36">IF(C10="ja",C47,0)</f>
        <v>0</v>
      </c>
      <c r="D179" s="469">
        <f t="shared" si="36"/>
        <v>0</v>
      </c>
      <c r="E179" s="469">
        <f t="shared" si="36"/>
        <v>0</v>
      </c>
      <c r="F179" s="469">
        <f t="shared" si="36"/>
        <v>0</v>
      </c>
      <c r="G179" s="469">
        <f t="shared" si="36"/>
        <v>0</v>
      </c>
      <c r="H179" s="469">
        <f t="shared" si="36"/>
        <v>0</v>
      </c>
      <c r="I179" s="470">
        <f t="shared" si="36"/>
        <v>0</v>
      </c>
    </row>
    <row r="180" spans="1:9" ht="21" customHeight="1" thickBot="1">
      <c r="A180" s="451" t="s">
        <v>136</v>
      </c>
      <c r="B180" s="471">
        <f>SUM(C180:I180)</f>
        <v>0</v>
      </c>
      <c r="C180" s="312">
        <f t="shared" ref="C180:I180" si="37">IF(C179&lt;C177,C179,C177)</f>
        <v>0</v>
      </c>
      <c r="D180" s="312">
        <f t="shared" si="37"/>
        <v>0</v>
      </c>
      <c r="E180" s="312">
        <f t="shared" si="37"/>
        <v>0</v>
      </c>
      <c r="F180" s="312">
        <f t="shared" si="37"/>
        <v>0</v>
      </c>
      <c r="G180" s="312">
        <f t="shared" si="37"/>
        <v>0</v>
      </c>
      <c r="H180" s="312">
        <f t="shared" si="37"/>
        <v>0</v>
      </c>
      <c r="I180" s="313">
        <f t="shared" si="37"/>
        <v>0</v>
      </c>
    </row>
    <row r="181" spans="1:9" ht="21" hidden="1" customHeight="1">
      <c r="A181" s="262"/>
      <c r="B181" s="320"/>
      <c r="C181" s="472">
        <f>IF(C179&lt;C178,C179,C178)</f>
        <v>0</v>
      </c>
      <c r="D181" s="472">
        <f t="shared" ref="D181:I181" si="38">IF(D179&lt;D178,D179,D178)</f>
        <v>0</v>
      </c>
      <c r="E181" s="472">
        <f t="shared" si="38"/>
        <v>0</v>
      </c>
      <c r="F181" s="472">
        <f t="shared" si="38"/>
        <v>0</v>
      </c>
      <c r="G181" s="472">
        <f t="shared" si="38"/>
        <v>0</v>
      </c>
      <c r="H181" s="472">
        <f t="shared" si="38"/>
        <v>0</v>
      </c>
      <c r="I181" s="473">
        <f t="shared" si="38"/>
        <v>0</v>
      </c>
    </row>
    <row r="182" spans="1:9" ht="21" hidden="1" customHeight="1">
      <c r="A182" s="262"/>
      <c r="B182" s="320"/>
      <c r="C182" s="474">
        <f>C179-C181</f>
        <v>0</v>
      </c>
      <c r="D182" s="474">
        <f t="shared" ref="D182:I182" si="39">D179-D181</f>
        <v>0</v>
      </c>
      <c r="E182" s="474">
        <f t="shared" si="39"/>
        <v>0</v>
      </c>
      <c r="F182" s="474">
        <f t="shared" si="39"/>
        <v>0</v>
      </c>
      <c r="G182" s="474">
        <f t="shared" si="39"/>
        <v>0</v>
      </c>
      <c r="H182" s="474">
        <f t="shared" si="39"/>
        <v>0</v>
      </c>
      <c r="I182" s="475">
        <f t="shared" si="39"/>
        <v>0</v>
      </c>
    </row>
    <row r="183" spans="1:9" ht="21" customHeight="1" thickTop="1" thickBot="1">
      <c r="A183" s="476" t="s">
        <v>137</v>
      </c>
      <c r="B183" s="477">
        <f>SUM(C183:I183)</f>
        <v>0</v>
      </c>
      <c r="C183" s="478">
        <f>IF(C180&lt;0,C179,C179-C180)</f>
        <v>0</v>
      </c>
      <c r="D183" s="478">
        <f t="shared" ref="D183:I183" si="40">IF(D180&lt;0,D179,D179-D180)</f>
        <v>0</v>
      </c>
      <c r="E183" s="478">
        <f t="shared" si="40"/>
        <v>0</v>
      </c>
      <c r="F183" s="478">
        <f t="shared" si="40"/>
        <v>0</v>
      </c>
      <c r="G183" s="478">
        <f t="shared" si="40"/>
        <v>0</v>
      </c>
      <c r="H183" s="478">
        <f t="shared" si="40"/>
        <v>0</v>
      </c>
      <c r="I183" s="479">
        <f t="shared" si="40"/>
        <v>0</v>
      </c>
    </row>
    <row r="184" spans="1:9" ht="18" customHeight="1">
      <c r="A184" s="336"/>
      <c r="B184" s="337"/>
      <c r="C184" s="337"/>
      <c r="D184" s="337"/>
      <c r="E184" s="337"/>
      <c r="F184" s="337"/>
      <c r="G184" s="337"/>
      <c r="H184" s="337"/>
      <c r="I184" s="337"/>
    </row>
    <row r="186" spans="1:9" ht="18.75" customHeight="1"/>
    <row r="187" spans="1:9">
      <c r="A187" s="608" t="s">
        <v>114</v>
      </c>
      <c r="B187" s="609"/>
      <c r="C187" s="327"/>
      <c r="D187" s="327"/>
      <c r="F187" s="216"/>
      <c r="G187" s="217"/>
      <c r="H187" s="217"/>
      <c r="I187" s="217"/>
    </row>
    <row r="188" spans="1:9">
      <c r="A188" s="327" t="s">
        <v>45</v>
      </c>
      <c r="B188" s="612">
        <f>IF(AND(C$58=0,C$54&lt;=100),0,IF(AND(C$58=0,C$54&lt;=1000),C$54-100,IF(AND(C$58=0,C$54&gt;1000),1000-100,IF(AND(C$58&gt;0,C$54+C$58&lt;=100),0,IF(AND(C$58&gt;0,C$58+C$54&lt;=1000),C$58+C$54-100,IF(AND(C$58&gt;0,C$58+C$54&gt;1000),1000-100))))))</f>
        <v>0</v>
      </c>
      <c r="C188" s="327" t="s">
        <v>28</v>
      </c>
      <c r="D188" s="137">
        <f>B188*20/100</f>
        <v>0</v>
      </c>
      <c r="F188" s="217"/>
      <c r="G188" s="217"/>
      <c r="H188" s="217"/>
      <c r="I188" s="215"/>
    </row>
    <row r="189" spans="1:9">
      <c r="A189" s="327" t="s">
        <v>159</v>
      </c>
      <c r="B189" s="137">
        <f>IF(C$54+C$58&lt;1000.01,0,IF(AND(C$54+C$58&gt;1000,C$54+C$58&lt;=1200),C$54+C$58-1000,IF(AND(C$54+C$58&gt;1200,C8="ja",C$54+C$58&lt;=1500),C$54+C$58-1000,IF(AND(C$54+C$58&gt;1200,C8="nein",C$54+C$58&lt;=1500),1200-1000,IF(AND(C$54+C$58&gt;=1500,C8="ja"),1500-1000,IF(AND(C$54+C$58&gt;1500,C8="nein"),1200-1000))))))</f>
        <v>0</v>
      </c>
      <c r="C189" s="327" t="s">
        <v>29</v>
      </c>
      <c r="D189" s="137">
        <f>B189*10/100</f>
        <v>0</v>
      </c>
      <c r="F189" s="217"/>
      <c r="G189" s="217"/>
      <c r="H189" s="217"/>
      <c r="I189" s="215"/>
    </row>
    <row r="190" spans="1:9">
      <c r="A190" s="610" t="s">
        <v>30</v>
      </c>
      <c r="B190" s="327"/>
      <c r="C190" s="327"/>
      <c r="D190" s="611">
        <f>SUM(D188:D189)</f>
        <v>0</v>
      </c>
      <c r="F190" s="217"/>
      <c r="G190" s="217"/>
      <c r="H190" s="217"/>
      <c r="I190" s="215"/>
    </row>
    <row r="191" spans="1:9">
      <c r="A191" s="327"/>
      <c r="B191" s="327"/>
      <c r="C191" s="327"/>
      <c r="D191" s="327"/>
      <c r="F191" s="217"/>
      <c r="G191" s="217"/>
      <c r="H191" s="217"/>
      <c r="I191" s="215"/>
    </row>
    <row r="192" spans="1:9">
      <c r="A192" s="608" t="s">
        <v>113</v>
      </c>
      <c r="B192" s="609"/>
      <c r="C192" s="327"/>
      <c r="D192" s="327"/>
      <c r="F192" s="217"/>
      <c r="G192" s="217"/>
      <c r="H192" s="217"/>
      <c r="I192" s="217"/>
    </row>
    <row r="193" spans="1:9">
      <c r="A193" s="327" t="s">
        <v>45</v>
      </c>
      <c r="B193" s="137">
        <f>IF(AND(D$58=0,D$54&lt;=100),0,IF(AND(D$58=0,D$54&lt;=1000),D$54-100,IF(AND(D$58=0,D$54&gt;1000),1000-100,IF(AND(D$58&gt;0,D$54+D$58&lt;=100),0,IF(AND(D$58&gt;0,D$58+D$54&lt;=1000),D$58+D$54-100,IF(AND(D$58&gt;0,D$58+D$54&gt;1000),1000-100))))))</f>
        <v>0</v>
      </c>
      <c r="C193" s="327" t="s">
        <v>28</v>
      </c>
      <c r="D193" s="137">
        <f>B193*20/100</f>
        <v>0</v>
      </c>
      <c r="F193" s="217"/>
      <c r="G193" s="217"/>
      <c r="H193" s="217"/>
      <c r="I193" s="215"/>
    </row>
    <row r="194" spans="1:9">
      <c r="A194" s="327" t="s">
        <v>159</v>
      </c>
      <c r="B194" s="137">
        <f>IF(D$54+D$58&lt;1000.01,0,IF(AND(D$54+D$58&gt;1000,D$54+D$58&lt;=1200),D$54+D$58-1000,IF(AND(D$54+D$58&gt;1200,D$8="ja",D$54+D$58&lt;=1500),D$54+D$58-1000,IF(AND(D$54+D$58&gt;1200,D$8="nein",D$54+D$58&lt;=1500),1200-1000,IF(AND(D$54+D$58&gt;=1500,D$8="ja"),1500-1000,IF(AND(D$54+D$58&gt;1500,D$8="nein"),1200-1000))))))</f>
        <v>0</v>
      </c>
      <c r="C194" s="327" t="s">
        <v>29</v>
      </c>
      <c r="D194" s="137">
        <f>B194*10/100</f>
        <v>0</v>
      </c>
      <c r="F194" s="217"/>
      <c r="G194" s="217"/>
      <c r="H194" s="217"/>
      <c r="I194" s="215"/>
    </row>
    <row r="195" spans="1:9">
      <c r="A195" s="610" t="s">
        <v>30</v>
      </c>
      <c r="B195" s="327"/>
      <c r="C195" s="327"/>
      <c r="D195" s="611">
        <f>SUM(D193:D194)</f>
        <v>0</v>
      </c>
      <c r="F195" s="217"/>
      <c r="G195" s="217"/>
      <c r="H195" s="217"/>
      <c r="I195" s="215"/>
    </row>
    <row r="196" spans="1:9">
      <c r="A196" s="327"/>
      <c r="B196" s="327"/>
      <c r="C196" s="327"/>
      <c r="D196" s="327"/>
      <c r="F196" s="217"/>
      <c r="G196" s="217"/>
      <c r="H196" s="217"/>
      <c r="I196" s="215"/>
    </row>
    <row r="197" spans="1:9">
      <c r="A197" s="608" t="s">
        <v>112</v>
      </c>
      <c r="B197" s="609"/>
      <c r="C197" s="327"/>
      <c r="D197" s="327"/>
      <c r="F197" s="217"/>
      <c r="G197" s="217"/>
      <c r="H197" s="217"/>
      <c r="I197" s="215"/>
    </row>
    <row r="198" spans="1:9">
      <c r="A198" s="327" t="s">
        <v>45</v>
      </c>
      <c r="B198" s="137">
        <f>IF(AND(E$58=0,E$54&lt;=100),0,IF(AND(E$58=0,E$54&lt;=1000),E$54-100,IF(AND(E$58=0,E$54&gt;1000),1000-100,IF(AND(E$58&gt;0,E$54+E$58&lt;=100),0,IF(AND(E$58&gt;0,E$58+E$54&lt;=1000),E$58+E$54-100,IF(AND(E$58&gt;0,E$58+E$54&gt;1000),1000-100))))))</f>
        <v>0</v>
      </c>
      <c r="C198" s="327" t="s">
        <v>28</v>
      </c>
      <c r="D198" s="137">
        <f>B198*20/100</f>
        <v>0</v>
      </c>
    </row>
    <row r="199" spans="1:9">
      <c r="A199" s="327" t="s">
        <v>159</v>
      </c>
      <c r="B199" s="137">
        <f>IF(E$54+E$58&lt;1000.01,0,IF(AND(E$54+E$58&gt;1000,E$54+E$58&lt;=1200),E$54+E$58-1000,IF(E$54+E$58&gt;1200,1200-1000,)))</f>
        <v>0</v>
      </c>
      <c r="C199" s="327" t="s">
        <v>29</v>
      </c>
      <c r="D199" s="137">
        <f>B199*10/100</f>
        <v>0</v>
      </c>
    </row>
    <row r="200" spans="1:9">
      <c r="A200" s="610" t="s">
        <v>30</v>
      </c>
      <c r="B200" s="327"/>
      <c r="C200" s="327"/>
      <c r="D200" s="611">
        <f>SUM(D198:D199)</f>
        <v>0</v>
      </c>
    </row>
    <row r="201" spans="1:9">
      <c r="A201" s="327"/>
      <c r="B201" s="327"/>
      <c r="C201" s="327"/>
      <c r="D201" s="327"/>
    </row>
    <row r="202" spans="1:9">
      <c r="A202" s="608" t="s">
        <v>111</v>
      </c>
      <c r="B202" s="609"/>
      <c r="C202" s="327"/>
      <c r="D202" s="327"/>
    </row>
    <row r="203" spans="1:9">
      <c r="A203" s="327" t="s">
        <v>45</v>
      </c>
      <c r="B203" s="137">
        <f>IF(AND(F$58=0,F$54&lt;=100),0,IF(AND(F$58=0,F$54&lt;=1000),F$54-100,IF(AND(F$58=0,F$54&gt;1000),1000-100,IF(AND(F$58&gt;0,F$54+F$58&lt;=100),0,IF(AND(F$58&gt;0,F$58+F$54&lt;=1000),F$58+F$54-100,IF(AND(F$58&gt;0,F$58+F$54&gt;1000),1000-100))))))</f>
        <v>0</v>
      </c>
      <c r="C203" s="327" t="s">
        <v>28</v>
      </c>
      <c r="D203" s="137">
        <f>B203*20/100</f>
        <v>0</v>
      </c>
    </row>
    <row r="204" spans="1:9">
      <c r="A204" s="327" t="s">
        <v>159</v>
      </c>
      <c r="B204" s="137">
        <f>IF(F$54+F$58&lt;1000.01,0,IF(AND(F$54+F$58&gt;1000,F$54+F$58&lt;=1200),F$54+F$58-1000,IF(F$54+F$58&gt;1200,1200-1000,)))</f>
        <v>0</v>
      </c>
      <c r="C204" s="327" t="s">
        <v>29</v>
      </c>
      <c r="D204" s="137">
        <f>B204*10/100</f>
        <v>0</v>
      </c>
    </row>
    <row r="205" spans="1:9">
      <c r="A205" s="610" t="s">
        <v>30</v>
      </c>
      <c r="B205" s="327"/>
      <c r="C205" s="327"/>
      <c r="D205" s="611">
        <f>SUM(D203:D204)</f>
        <v>0</v>
      </c>
    </row>
    <row r="206" spans="1:9">
      <c r="A206" s="327"/>
      <c r="B206" s="327"/>
      <c r="C206" s="327"/>
      <c r="D206" s="327"/>
    </row>
    <row r="207" spans="1:9">
      <c r="A207" s="608" t="s">
        <v>110</v>
      </c>
      <c r="B207" s="609"/>
      <c r="C207" s="327"/>
      <c r="D207" s="327"/>
    </row>
    <row r="208" spans="1:9">
      <c r="A208" s="327" t="s">
        <v>45</v>
      </c>
      <c r="B208" s="137">
        <f>IF(AND(G$58=0,G$54&lt;=100),0,IF(AND(G$58=0,G$54&lt;=1000),G$54-100,IF(AND(G$58=0,G$54&gt;1000),1000-100,IF(AND(G$58&gt;0,G$54+G$58&lt;=100),0,IF(AND(G$58&gt;0,G$58+G$54&lt;=1000),G$58+G$54-100,IF(AND(G$58&gt;0,G$58+G$54&gt;1000),1000-100))))))</f>
        <v>0</v>
      </c>
      <c r="C208" s="327" t="s">
        <v>28</v>
      </c>
      <c r="D208" s="137">
        <f>B208*20/100</f>
        <v>0</v>
      </c>
    </row>
    <row r="209" spans="1:4">
      <c r="A209" s="327" t="s">
        <v>159</v>
      </c>
      <c r="B209" s="137">
        <f>IF(G$54+G$58&lt;1000.01,0,IF(AND(G$54+G$58&gt;1000,G$54+G$58&lt;=1200),G$54+G$58-1000,IF(G$54+G$58&gt;1200,1200-1000,)))</f>
        <v>0</v>
      </c>
      <c r="C209" s="327" t="s">
        <v>29</v>
      </c>
      <c r="D209" s="137">
        <f>B209*10/100</f>
        <v>0</v>
      </c>
    </row>
    <row r="210" spans="1:4">
      <c r="A210" s="610" t="s">
        <v>30</v>
      </c>
      <c r="B210" s="327"/>
      <c r="C210" s="327"/>
      <c r="D210" s="611">
        <f>SUM(D208:D209)</f>
        <v>0</v>
      </c>
    </row>
    <row r="211" spans="1:4">
      <c r="A211" s="327"/>
      <c r="B211" s="327"/>
      <c r="C211" s="327"/>
      <c r="D211" s="327"/>
    </row>
    <row r="212" spans="1:4">
      <c r="A212" s="608" t="s">
        <v>108</v>
      </c>
      <c r="B212" s="609"/>
      <c r="C212" s="327"/>
      <c r="D212" s="327"/>
    </row>
    <row r="213" spans="1:4">
      <c r="A213" s="327" t="s">
        <v>45</v>
      </c>
      <c r="B213" s="137">
        <f>IF(AND(H$58=0,H$54&lt;=100),0,IF(AND(H$58=0,H$54&lt;=1000),H$54-100,IF(AND(H$58=0,H$54&gt;1000),1000-100,IF(AND(H$58&gt;0,H$54+H$58&lt;=100),0,IF(AND(H$58&gt;0,H$58+H$54&lt;=1000),H$58+H$54-100,IF(AND(H$58&gt;0,H$58+H$54&gt;1000),1000-100))))))</f>
        <v>0</v>
      </c>
      <c r="C213" s="327" t="s">
        <v>28</v>
      </c>
      <c r="D213" s="137">
        <f>B213*20/100</f>
        <v>0</v>
      </c>
    </row>
    <row r="214" spans="1:4">
      <c r="A214" s="327" t="s">
        <v>159</v>
      </c>
      <c r="B214" s="137">
        <f>IF(H$54+H$58&lt;1000.01,0,IF(AND(H$54+H$58&gt;1000,H$54+H$58&lt;=1200),H$54+H$58-1000,IF(H$54+H$58&gt;1200,1200-1000,)))</f>
        <v>0</v>
      </c>
      <c r="C214" s="327" t="s">
        <v>29</v>
      </c>
      <c r="D214" s="137">
        <f>B214*10/100</f>
        <v>0</v>
      </c>
    </row>
    <row r="215" spans="1:4">
      <c r="A215" s="610" t="s">
        <v>30</v>
      </c>
      <c r="B215" s="327"/>
      <c r="C215" s="327"/>
      <c r="D215" s="611">
        <f>SUM(D213:D214)</f>
        <v>0</v>
      </c>
    </row>
    <row r="216" spans="1:4">
      <c r="A216" s="327"/>
      <c r="B216" s="327"/>
      <c r="C216" s="327"/>
      <c r="D216" s="327"/>
    </row>
    <row r="217" spans="1:4">
      <c r="A217" s="608" t="s">
        <v>109</v>
      </c>
      <c r="B217" s="609"/>
      <c r="C217" s="327"/>
      <c r="D217" s="327"/>
    </row>
    <row r="218" spans="1:4">
      <c r="A218" s="327" t="s">
        <v>45</v>
      </c>
      <c r="B218" s="137">
        <f>IF(AND(I$58=0,I$54&lt;=100),0,IF(AND(I$58=0,I$54&lt;=1000),I$54-100,IF(AND(I$58=0,I$54&gt;1000),1000-100,IF(AND(I$58&gt;0,I$54+I$58&lt;=100),0,IF(AND(I$58&gt;0,I$58+I$54&lt;=1000),I$58+I$54-100,IF(AND(I$58&gt;0,I$58+I$54&gt;1000),1000-100))))))</f>
        <v>0</v>
      </c>
      <c r="C218" s="327" t="s">
        <v>28</v>
      </c>
      <c r="D218" s="137">
        <f>B218*20/100</f>
        <v>0</v>
      </c>
    </row>
    <row r="219" spans="1:4">
      <c r="A219" s="327" t="s">
        <v>159</v>
      </c>
      <c r="B219" s="137">
        <f>IF(I$54+I$58&lt;1000.01,0,IF(AND(I$54+I$58&gt;1000,I$54+I$58&lt;=1200),I$54+I$58-1000,IF(I$54+I$58&gt;1200,1200-1000,)))</f>
        <v>0</v>
      </c>
      <c r="C219" s="327" t="s">
        <v>29</v>
      </c>
      <c r="D219" s="137">
        <f>B219*10/100</f>
        <v>0</v>
      </c>
    </row>
    <row r="220" spans="1:4">
      <c r="A220" s="610" t="s">
        <v>30</v>
      </c>
      <c r="B220" s="327"/>
      <c r="C220" s="327"/>
      <c r="D220" s="611">
        <f>SUM(D218:D219)</f>
        <v>0</v>
      </c>
    </row>
    <row r="221" spans="1:4">
      <c r="A221" s="217"/>
      <c r="B221" s="219"/>
      <c r="C221" s="217"/>
      <c r="D221" s="217"/>
    </row>
    <row r="222" spans="1:4">
      <c r="A222" s="217"/>
      <c r="B222" s="215"/>
      <c r="C222" s="217"/>
      <c r="D222" s="215"/>
    </row>
    <row r="223" spans="1:4">
      <c r="A223" s="217"/>
      <c r="B223" s="215"/>
      <c r="C223" s="217"/>
      <c r="D223" s="215"/>
    </row>
    <row r="224" spans="1:4">
      <c r="A224" s="220"/>
      <c r="B224" s="217"/>
      <c r="C224" s="217"/>
      <c r="D224" s="215"/>
    </row>
    <row r="225" spans="1:4">
      <c r="A225" s="217"/>
      <c r="B225" s="217"/>
      <c r="C225" s="217"/>
      <c r="D225" s="217"/>
    </row>
    <row r="226" spans="1:4">
      <c r="A226" s="218"/>
      <c r="B226" s="216"/>
      <c r="C226" s="217"/>
      <c r="D226" s="217"/>
    </row>
    <row r="227" spans="1:4">
      <c r="A227" s="217"/>
      <c r="B227" s="215"/>
      <c r="C227" s="217"/>
      <c r="D227" s="215"/>
    </row>
    <row r="228" spans="1:4">
      <c r="A228" s="217"/>
      <c r="B228" s="215"/>
      <c r="C228" s="217"/>
      <c r="D228" s="215"/>
    </row>
    <row r="229" spans="1:4">
      <c r="A229" s="220"/>
      <c r="B229" s="217"/>
      <c r="C229" s="217"/>
      <c r="D229" s="215"/>
    </row>
    <row r="230" spans="1:4">
      <c r="A230" s="217"/>
      <c r="B230" s="217"/>
      <c r="C230" s="217"/>
      <c r="D230" s="217"/>
    </row>
    <row r="231" spans="1:4">
      <c r="A231" s="218"/>
      <c r="B231" s="216"/>
      <c r="C231" s="217"/>
      <c r="D231" s="217"/>
    </row>
    <row r="232" spans="1:4">
      <c r="A232" s="217"/>
      <c r="B232" s="215"/>
      <c r="C232" s="217"/>
      <c r="D232" s="215"/>
    </row>
    <row r="233" spans="1:4">
      <c r="A233" s="217"/>
      <c r="B233" s="215"/>
      <c r="C233" s="217"/>
      <c r="D233" s="215"/>
    </row>
    <row r="234" spans="1:4">
      <c r="A234" s="220"/>
      <c r="B234" s="217"/>
      <c r="C234" s="217"/>
      <c r="D234" s="215"/>
    </row>
    <row r="235" spans="1:4">
      <c r="A235" s="217"/>
      <c r="B235" s="217"/>
      <c r="C235" s="217"/>
      <c r="D235" s="217"/>
    </row>
    <row r="236" spans="1:4">
      <c r="A236" s="218"/>
      <c r="B236" s="216"/>
      <c r="C236" s="217"/>
      <c r="D236" s="217"/>
    </row>
    <row r="237" spans="1:4">
      <c r="A237" s="217"/>
      <c r="B237" s="215"/>
      <c r="C237" s="217"/>
      <c r="D237" s="215"/>
    </row>
    <row r="238" spans="1:4">
      <c r="A238" s="217"/>
      <c r="B238" s="215"/>
      <c r="C238" s="217"/>
      <c r="D238" s="215"/>
    </row>
    <row r="239" spans="1:4">
      <c r="A239" s="220"/>
      <c r="B239" s="217"/>
      <c r="C239" s="217"/>
      <c r="D239" s="215"/>
    </row>
  </sheetData>
  <mergeCells count="1">
    <mergeCell ref="B3:C3"/>
  </mergeCells>
  <conditionalFormatting sqref="C132 D132:D133 D141:D146 C137:C146 E131:I133 D127:I128 A49 C7:I7 C13:I13 B3:C3 C49:I49 C21:I46 C14:C19 C179:I180 C177:I177 D15:I19 C10:I11 C83:I83 C112:I112 C114:I115 C95:I99 C101:I110 C74:I81 C90:I93 C85:I88 C54:I71 C117:I120 D138:I138 C170:I171 C148:I148">
    <cfRule type="cellIs" dxfId="124" priority="12" stopIfTrue="1" operator="equal">
      <formula>0</formula>
    </cfRule>
  </conditionalFormatting>
  <conditionalFormatting sqref="B21:B47 B145:B148 E149:I151 C47:I47 B50:C50 B13:B19 B49 B177:B182 B170:B172 B54:B120">
    <cfRule type="cellIs" dxfId="123" priority="13" stopIfTrue="1" operator="equal">
      <formula>0</formula>
    </cfRule>
  </conditionalFormatting>
  <conditionalFormatting sqref="B165:I165 B175:I175 B183:I184">
    <cfRule type="cellIs" dxfId="122" priority="14" stopIfTrue="1" operator="equal">
      <formula>0</formula>
    </cfRule>
  </conditionalFormatting>
  <conditionalFormatting sqref="A150">
    <cfRule type="cellIs" dxfId="121" priority="15" stopIfTrue="1" operator="equal">
      <formula>"Mehrbedarf nach § 27 (2) SGB II"</formula>
    </cfRule>
  </conditionalFormatting>
  <conditionalFormatting sqref="C150:D151">
    <cfRule type="cellIs" dxfId="120" priority="16" stopIfTrue="1" operator="notEqual">
      <formula>0</formula>
    </cfRule>
  </conditionalFormatting>
  <conditionalFormatting sqref="C161">
    <cfRule type="expression" dxfId="119" priority="17" stopIfTrue="1">
      <formula>$C$150&gt;0</formula>
    </cfRule>
  </conditionalFormatting>
  <conditionalFormatting sqref="A151">
    <cfRule type="cellIs" dxfId="118" priority="18" stopIfTrue="1" operator="equal">
      <formula>"./. Überschuss"</formula>
    </cfRule>
  </conditionalFormatting>
  <conditionalFormatting sqref="D161">
    <cfRule type="expression" dxfId="117" priority="19" stopIfTrue="1">
      <formula>$D$150&gt;0</formula>
    </cfRule>
  </conditionalFormatting>
  <conditionalFormatting sqref="C116:D116">
    <cfRule type="cellIs" dxfId="116" priority="11" stopIfTrue="1" operator="equal">
      <formula>0</formula>
    </cfRule>
  </conditionalFormatting>
  <conditionalFormatting sqref="E116:I116">
    <cfRule type="cellIs" dxfId="115" priority="10" stopIfTrue="1" operator="equal">
      <formula>0</formula>
    </cfRule>
  </conditionalFormatting>
  <conditionalFormatting sqref="C82:I82">
    <cfRule type="cellIs" dxfId="114" priority="9" stopIfTrue="1" operator="equal">
      <formula>0</formula>
    </cfRule>
  </conditionalFormatting>
  <conditionalFormatting sqref="C111:I111">
    <cfRule type="cellIs" dxfId="113" priority="8" stopIfTrue="1" operator="equal">
      <formula>0</formula>
    </cfRule>
  </conditionalFormatting>
  <conditionalFormatting sqref="C113:I113">
    <cfRule type="cellIs" dxfId="112" priority="7" stopIfTrue="1" operator="equal">
      <formula>0</formula>
    </cfRule>
  </conditionalFormatting>
  <conditionalFormatting sqref="C154:I157">
    <cfRule type="cellIs" dxfId="111" priority="5" stopIfTrue="1" operator="equal">
      <formula>0</formula>
    </cfRule>
  </conditionalFormatting>
  <conditionalFormatting sqref="B153:B158">
    <cfRule type="cellIs" dxfId="110" priority="6" stopIfTrue="1" operator="equal">
      <formula>0</formula>
    </cfRule>
  </conditionalFormatting>
  <conditionalFormatting sqref="A120">
    <cfRule type="expression" dxfId="109" priority="4">
      <formula>B120&gt;0</formula>
    </cfRule>
  </conditionalFormatting>
  <conditionalFormatting sqref="C147">
    <cfRule type="cellIs" dxfId="108" priority="3" stopIfTrue="1" operator="equal">
      <formula>0</formula>
    </cfRule>
  </conditionalFormatting>
  <conditionalFormatting sqref="D147">
    <cfRule type="cellIs" dxfId="107" priority="2" stopIfTrue="1" operator="equal">
      <formula>0</formula>
    </cfRule>
  </conditionalFormatting>
  <conditionalFormatting sqref="E147:I147">
    <cfRule type="cellIs" dxfId="106" priority="1" stopIfTrue="1" operator="equal">
      <formula>0</formula>
    </cfRule>
  </conditionalFormatting>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12</vt:i4>
      </vt:variant>
    </vt:vector>
  </HeadingPairs>
  <TitlesOfParts>
    <vt:vector size="30" baseType="lpstr">
      <vt:lpstr>Hinweise</vt:lpstr>
      <vt:lpstr>Eingabetabelle</vt:lpstr>
      <vt:lpstr>Zusatzeingaben</vt:lpstr>
      <vt:lpstr>Berechnung</vt:lpstr>
      <vt:lpstr>Kinderzuschlag</vt:lpstr>
      <vt:lpstr>Gutschein</vt:lpstr>
      <vt:lpstr>Zuschuss§26</vt:lpstr>
      <vt:lpstr>Wohngeld</vt:lpstr>
      <vt:lpstr>Z</vt:lpstr>
      <vt:lpstr>einmaligesEK</vt:lpstr>
      <vt:lpstr>Berechnung mit Einmalzahlung</vt:lpstr>
      <vt:lpstr>EingabenÄnderungen</vt:lpstr>
      <vt:lpstr>Änderung</vt:lpstr>
      <vt:lpstr>Aufteilung</vt:lpstr>
      <vt:lpstr>Bedarfssätze</vt:lpstr>
      <vt:lpstr>A</vt:lpstr>
      <vt:lpstr>B</vt:lpstr>
      <vt:lpstr>AB</vt:lpstr>
      <vt:lpstr>Bedarfsstufen</vt:lpstr>
      <vt:lpstr>Berechnung!Druckbereich</vt:lpstr>
      <vt:lpstr>Eingabetabelle!Druckbereich</vt:lpstr>
      <vt:lpstr>Zusatzeingaben!Druckbereich</vt:lpstr>
      <vt:lpstr>Ernährung</vt:lpstr>
      <vt:lpstr>Kinderzuschlag</vt:lpstr>
      <vt:lpstr>KKinderzuschlag</vt:lpstr>
      <vt:lpstr>VersPausch</vt:lpstr>
      <vt:lpstr>Wohngeld</vt:lpstr>
      <vt:lpstr>Wohngeldabzug</vt:lpstr>
      <vt:lpstr>WWPauschale</vt:lpstr>
      <vt:lpstr>Zuschuss§26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H.Müller</dc:creator>
  <cp:lastModifiedBy>Horst</cp:lastModifiedBy>
  <cp:lastPrinted>2017-08-12T08:29:12Z</cp:lastPrinted>
  <dcterms:created xsi:type="dcterms:W3CDTF">2009-12-27T11:04:37Z</dcterms:created>
  <dcterms:modified xsi:type="dcterms:W3CDTF">2018-10-28T14:44:07Z</dcterms:modified>
</cp:coreProperties>
</file>